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Common\Assessor\Web\Sales-Excel\"/>
    </mc:Choice>
  </mc:AlternateContent>
  <xr:revisionPtr revIDLastSave="0" documentId="13_ncr:1_{FA5BFCC6-0E67-4DAC-B87F-1D1FA45E0D6F}" xr6:coauthVersionLast="47" xr6:coauthVersionMax="47" xr10:uidLastSave="{00000000-0000-0000-0000-000000000000}"/>
  <bookViews>
    <workbookView xWindow="-120" yWindow="-120" windowWidth="29040" windowHeight="15840" xr2:uid="{DF6A8ACD-038C-400B-93E5-FAA05124D45F}"/>
  </bookViews>
  <sheets>
    <sheet name="Single-parcel sales" sheetId="2" r:id="rId1"/>
    <sheet name="Multi-parcel sal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7" i="3" l="1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<sst xmlns="http://schemas.openxmlformats.org/spreadsheetml/2006/main" count="14765" uniqueCount="6150">
  <si>
    <t>Single-Parcel Sales</t>
  </si>
  <si>
    <t>Excise</t>
  </si>
  <si>
    <t>Use</t>
  </si>
  <si>
    <t>Nbrhd</t>
  </si>
  <si>
    <t>Nbrhd Name</t>
  </si>
  <si>
    <t>Tax Parcel</t>
  </si>
  <si>
    <t>Process no.</t>
  </si>
  <si>
    <t>Property</t>
  </si>
  <si>
    <t>Sale Dt</t>
  </si>
  <si>
    <t>Price</t>
  </si>
  <si>
    <t>Acres</t>
  </si>
  <si>
    <t>Current Zoning</t>
  </si>
  <si>
    <t>Validity</t>
  </si>
  <si>
    <t>Grantor</t>
  </si>
  <si>
    <t>Grantee</t>
  </si>
  <si>
    <t>2020EX00016</t>
  </si>
  <si>
    <t xml:space="preserve">506- Office condo             </t>
  </si>
  <si>
    <t xml:space="preserve">Old Silverdale                </t>
  </si>
  <si>
    <t>8216-000-108-0004</t>
  </si>
  <si>
    <t>Waterfront offices- Unit 108</t>
  </si>
  <si>
    <t>V - Valid sale</t>
  </si>
  <si>
    <t>BYRON STREET PROPERTIES LLC</t>
  </si>
  <si>
    <t>GIG HARBOR DENTAL HOLDINGS LLC</t>
  </si>
  <si>
    <t>2020EX00041</t>
  </si>
  <si>
    <t xml:space="preserve">690- Office                   </t>
  </si>
  <si>
    <t xml:space="preserve">City of Bainbridge Island     </t>
  </si>
  <si>
    <t>222502-1-028-2005</t>
  </si>
  <si>
    <t>Hatletveit Bld &amp;Comn area 027&amp;029</t>
  </si>
  <si>
    <t xml:space="preserve">BI--B/I                       </t>
  </si>
  <si>
    <t>1 - Family</t>
  </si>
  <si>
    <t>HATLETVEIT ODDBJORN &amp; JUDITT</t>
  </si>
  <si>
    <t>HATLETVEIT TORGEIR &amp; ALISON</t>
  </si>
  <si>
    <t>2020EX00059</t>
  </si>
  <si>
    <t xml:space="preserve">694- Office Mixed Use         </t>
  </si>
  <si>
    <t xml:space="preserve">East Bremerton                </t>
  </si>
  <si>
    <t>122401-1-093-2009</t>
  </si>
  <si>
    <t>Office/Multifamily on Perry Ave</t>
  </si>
  <si>
    <t xml:space="preserve">CO--C                         </t>
  </si>
  <si>
    <t>M - Other</t>
  </si>
  <si>
    <t xml:space="preserve">HICKS CANDICE FRANCOM &amp; MICHAE      </t>
  </si>
  <si>
    <t xml:space="preserve">M A R LLC                           </t>
  </si>
  <si>
    <t>2020EX00060</t>
  </si>
  <si>
    <t xml:space="preserve">651- Medical/dental offices   </t>
  </si>
  <si>
    <t>4510-000-001-0103</t>
  </si>
  <si>
    <t>Amanda Mays Dentistry, Antex Labs</t>
  </si>
  <si>
    <t xml:space="preserve">DIXON JAMES L                       </t>
  </si>
  <si>
    <t xml:space="preserve">A.MAYES.ING LLC                     </t>
  </si>
  <si>
    <t>2020EX00182</t>
  </si>
  <si>
    <t xml:space="preserve">137- 50+ living units         </t>
  </si>
  <si>
    <t xml:space="preserve">Poulsbo-COM                   </t>
  </si>
  <si>
    <t>102601-1-022-2005</t>
  </si>
  <si>
    <t>Nordland Trails Townhomes &amp; Flats</t>
  </si>
  <si>
    <t xml:space="preserve">PL--RM                        </t>
  </si>
  <si>
    <t>R - Imps added</t>
  </si>
  <si>
    <t>KITSAP COUNTY CONSOLIDATED HOU</t>
  </si>
  <si>
    <t>KITSAP OLHAVA LLC</t>
  </si>
  <si>
    <t>2020EX00198</t>
  </si>
  <si>
    <t>8217-003-120-0001</t>
  </si>
  <si>
    <t>Flying Goat Unit C120</t>
  </si>
  <si>
    <t>ROOST LAND COMPANY LLC</t>
  </si>
  <si>
    <t>FLYING GOAT C120 LLC</t>
  </si>
  <si>
    <t>2020EX00208</t>
  </si>
  <si>
    <t xml:space="preserve">640- Repair services          </t>
  </si>
  <si>
    <t xml:space="preserve">Downtown Bremerton            </t>
  </si>
  <si>
    <t>3718-019-037-0004</t>
  </si>
  <si>
    <t>893 4th Street - Auto Repair</t>
  </si>
  <si>
    <t xml:space="preserve">BR--ED Employment Dist        </t>
  </si>
  <si>
    <t>OLSON TIMOTHY D &amp; ANN &amp;</t>
  </si>
  <si>
    <t>DT COOPER 9 LLC</t>
  </si>
  <si>
    <t>2020EX00252</t>
  </si>
  <si>
    <t xml:space="preserve">637- General warehouse        </t>
  </si>
  <si>
    <t xml:space="preserve">Rural Coml South Kitsap       </t>
  </si>
  <si>
    <t>122301-2-030-1006</t>
  </si>
  <si>
    <t>Amazon warehouse</t>
  </si>
  <si>
    <t xml:space="preserve">BR--GI General Industrial     </t>
  </si>
  <si>
    <t>PAIJE PROPERTIES LLC</t>
  </si>
  <si>
    <t>ALM BREMERTON LLC</t>
  </si>
  <si>
    <t>2020EX00363</t>
  </si>
  <si>
    <t xml:space="preserve">111- Single family residence  </t>
  </si>
  <si>
    <t xml:space="preserve">SK E. Hwy 16-COM              </t>
  </si>
  <si>
    <t>322402-1-081-2008</t>
  </si>
  <si>
    <t>SFR near C/store Mile Hill</t>
  </si>
  <si>
    <t xml:space="preserve">CO--RCO                       </t>
  </si>
  <si>
    <t xml:space="preserve">MCROBERTS KERRY D &amp; VICKI R         </t>
  </si>
  <si>
    <t xml:space="preserve">LAMBERT LAWRENCE                    </t>
  </si>
  <si>
    <t>2020EX00373</t>
  </si>
  <si>
    <t>122301-2-020-1008</t>
  </si>
  <si>
    <t>DSE Office &amp; Warehouse</t>
  </si>
  <si>
    <t>PALMER PROPERTIES LLC</t>
  </si>
  <si>
    <t>KITSAP SPORTS PROPERTIES LLC</t>
  </si>
  <si>
    <t>2020EX00386</t>
  </si>
  <si>
    <t>3718-016-017-0004</t>
  </si>
  <si>
    <t>Marine Outfitting</t>
  </si>
  <si>
    <t xml:space="preserve">BR--DC Downtown Core          </t>
  </si>
  <si>
    <t>Q - Quit claim deed</t>
  </si>
  <si>
    <t xml:space="preserve">SIECKOWSKI WAYNE D                  </t>
  </si>
  <si>
    <t>FESSNER TERRANCE SCOTT &amp; POWERS ANTH</t>
  </si>
  <si>
    <t>2020EX00469</t>
  </si>
  <si>
    <t xml:space="preserve">500- Boat slip condo          </t>
  </si>
  <si>
    <t xml:space="preserve">Poulsbo Yacht Club            </t>
  </si>
  <si>
    <t>8070-001-031-0009</t>
  </si>
  <si>
    <t>Poulsbo Yacht Club 44lf covered</t>
  </si>
  <si>
    <t>SIMPSON PETER L &amp; COPLEY DONNA</t>
  </si>
  <si>
    <t>KUNOLD MARK P &amp; LESLEY ANN</t>
  </si>
  <si>
    <t>2020EX00481</t>
  </si>
  <si>
    <t xml:space="preserve">910- Undeveloped land         </t>
  </si>
  <si>
    <t xml:space="preserve">Callow                        </t>
  </si>
  <si>
    <t>3734-012-001-0001</t>
  </si>
  <si>
    <t>Land only corner 9th &amp; Wycoff</t>
  </si>
  <si>
    <t xml:space="preserve">BR--DCC District Ctr Core     </t>
  </si>
  <si>
    <t xml:space="preserve">THE NEIL J PETERSON FAMILY LLC      </t>
  </si>
  <si>
    <t xml:space="preserve">BAIR CHARLES E &amp; PATRICIA R &amp; BAIRD </t>
  </si>
  <si>
    <t>2020EX00494</t>
  </si>
  <si>
    <t>142601-2-030-2009</t>
  </si>
  <si>
    <t>BL corner Torval Canyon and 1st Ave</t>
  </si>
  <si>
    <t xml:space="preserve">PL--RH                        </t>
  </si>
  <si>
    <t>2 - Corporate affiliates</t>
  </si>
  <si>
    <t>POULSBO BOM DEVELOPERS LLC</t>
  </si>
  <si>
    <t>HTTS R2 LLC</t>
  </si>
  <si>
    <t>2020EX00515</t>
  </si>
  <si>
    <t>322402-2-030-2008</t>
  </si>
  <si>
    <t>SK Towing -  Mile Hill</t>
  </si>
  <si>
    <t>DAVIS PAUL T</t>
  </si>
  <si>
    <t>SKT PROPERTIES LLC</t>
  </si>
  <si>
    <t>2020EX00617</t>
  </si>
  <si>
    <t>012301-4-034-1001</t>
  </si>
  <si>
    <t>BL off Hwy 3</t>
  </si>
  <si>
    <t>CHREY JAMES V</t>
  </si>
  <si>
    <t>ALPINE EVERGREEN CO INC</t>
  </si>
  <si>
    <t>2020EX00648</t>
  </si>
  <si>
    <t xml:space="preserve">541- Conv store w/gas pumps   </t>
  </si>
  <si>
    <t xml:space="preserve">South Kitsap UGA              </t>
  </si>
  <si>
    <t>302402-4-209-2001</t>
  </si>
  <si>
    <t>MileHill Chevron</t>
  </si>
  <si>
    <t>PORT ORCHARD OIL LLC</t>
  </si>
  <si>
    <t>PORT ORCHARD CHEVRON INC</t>
  </si>
  <si>
    <t>2020EX00686</t>
  </si>
  <si>
    <t>8110-000-005-0005</t>
  </si>
  <si>
    <t>Eastman Condo Unit E</t>
  </si>
  <si>
    <t>SPOONER DAVID &amp; MARIE</t>
  </si>
  <si>
    <t>KANG AND KANG LLC</t>
  </si>
  <si>
    <t>2020EX00727</t>
  </si>
  <si>
    <t xml:space="preserve">West Bremerton                </t>
  </si>
  <si>
    <t>162401-4-002-2009</t>
  </si>
  <si>
    <t>Land - 5204 1st St adj to Pepsi Whse</t>
  </si>
  <si>
    <t xml:space="preserve">BR--FC Freeway Corridor       </t>
  </si>
  <si>
    <t>A C DAWSON PROPERTIES LLC</t>
  </si>
  <si>
    <t>BOTTLING GROUP LLC</t>
  </si>
  <si>
    <t>2020EX00730</t>
  </si>
  <si>
    <t>162401-4-067-2001</t>
  </si>
  <si>
    <t>Warehouse Bridge 2 Bridge Beverag</t>
  </si>
  <si>
    <t>JPA REAL PROPERTY LLC</t>
  </si>
  <si>
    <t>2020EX00758</t>
  </si>
  <si>
    <t xml:space="preserve">611- Banks                    </t>
  </si>
  <si>
    <t>3734-009-014-0002</t>
  </si>
  <si>
    <t>Wells Fargo - W Brem Drive thru</t>
  </si>
  <si>
    <t>WELLS FARGO BANK NA</t>
  </si>
  <si>
    <t>TACHI PROPERTIES LLC</t>
  </si>
  <si>
    <t>2020EX00795</t>
  </si>
  <si>
    <t xml:space="preserve">590- Retail                   </t>
  </si>
  <si>
    <t xml:space="preserve">Gorst                         </t>
  </si>
  <si>
    <t>322401-1-126-2006</t>
  </si>
  <si>
    <t>Retail &amp; 2 warehouses</t>
  </si>
  <si>
    <t xml:space="preserve">MURRAY MICHAEL G &amp; PHYLLIS &amp;        </t>
  </si>
  <si>
    <t xml:space="preserve">CRESWELL LYNN JOE &amp; KIMBERLY &amp;      </t>
  </si>
  <si>
    <t>2020EX00849</t>
  </si>
  <si>
    <t>3783-001-010-0003</t>
  </si>
  <si>
    <t>3703 Kitsap Way - Auto Repair Garage</t>
  </si>
  <si>
    <t xml:space="preserve">BR--GC General Commercial     </t>
  </si>
  <si>
    <t xml:space="preserve">DAVENPORT H HERBERT &amp; BARBARA       </t>
  </si>
  <si>
    <t xml:space="preserve">TARIQ MOHAMMAD &amp; SHAMIM             </t>
  </si>
  <si>
    <t>2020EX00868</t>
  </si>
  <si>
    <t xml:space="preserve">132- 10-14 living units       </t>
  </si>
  <si>
    <t xml:space="preserve">Port Orchard-COM              </t>
  </si>
  <si>
    <t>4764-001-008-0008</t>
  </si>
  <si>
    <t>Colonial Lane Apts</t>
  </si>
  <si>
    <t xml:space="preserve">CO--UL                        </t>
  </si>
  <si>
    <t>BUTCHER M MAXINE TRUSTEE</t>
  </si>
  <si>
    <t>COLONIAL MEADOWS LLC</t>
  </si>
  <si>
    <t>2020EX00915</t>
  </si>
  <si>
    <t>322401-1-097-2001</t>
  </si>
  <si>
    <t>Warehouse off Belfair Valley Rd</t>
  </si>
  <si>
    <t>MURRAY MICHAEL G &amp; PHYLLIS &amp; H</t>
  </si>
  <si>
    <t>CRESSWELL LYNN JOSEPH &amp; KIMBERLY ANN</t>
  </si>
  <si>
    <t>2020EX00967</t>
  </si>
  <si>
    <t xml:space="preserve">123- 4 living units           </t>
  </si>
  <si>
    <t>West Bremerton Uplands Cit-COM</t>
  </si>
  <si>
    <t>3718-024-007-0000</t>
  </si>
  <si>
    <t>Triplex @ 1032 5th Street</t>
  </si>
  <si>
    <t xml:space="preserve">BR--MR2 MultiFamily Res 2     </t>
  </si>
  <si>
    <t>X - Exempt property</t>
  </si>
  <si>
    <t>EMMANUEL APOSTOLIC CHURCH</t>
  </si>
  <si>
    <t>NELSON BENJAMIN R</t>
  </si>
  <si>
    <t>2020EX00978</t>
  </si>
  <si>
    <t xml:space="preserve">Greater Poulsbo               </t>
  </si>
  <si>
    <t>142501-2-019-2005</t>
  </si>
  <si>
    <t>Central Valley Texaco</t>
  </si>
  <si>
    <t>IJ 2013 INC</t>
  </si>
  <si>
    <t>SY 2017 INC</t>
  </si>
  <si>
    <t>2020EX01041</t>
  </si>
  <si>
    <t>BRIDGE 2 BRIDGE BEVERAGES INC</t>
  </si>
  <si>
    <t>2020EX01221</t>
  </si>
  <si>
    <t xml:space="preserve">691- Churches                 </t>
  </si>
  <si>
    <t>4796-012-001-0004</t>
  </si>
  <si>
    <t>Port Orch Con. of Jehovahs Bielmeier</t>
  </si>
  <si>
    <t xml:space="preserve">CO--RR                        </t>
  </si>
  <si>
    <t>MANCHESTER CONGREGATION OF</t>
  </si>
  <si>
    <t>RIDENS TANA &amp; KENNETH</t>
  </si>
  <si>
    <t>2020EX01239</t>
  </si>
  <si>
    <t xml:space="preserve">594- Retail Mixed Use         </t>
  </si>
  <si>
    <t xml:space="preserve">National/Charleston Beach     </t>
  </si>
  <si>
    <t>4600-006-021-0008</t>
  </si>
  <si>
    <t>Bargain Center, 4 Apts</t>
  </si>
  <si>
    <t>E - Estate sale</t>
  </si>
  <si>
    <t xml:space="preserve">CHICHESTER THOMAS PERSONAL REP      </t>
  </si>
  <si>
    <t xml:space="preserve">SOUTH NATIONAL APARTMENTS LLC       </t>
  </si>
  <si>
    <t>2020EX01299</t>
  </si>
  <si>
    <t>8070-001-002-0004</t>
  </si>
  <si>
    <t>PYC A-2 48LF</t>
  </si>
  <si>
    <t>SIMONS WILLIAM E &amp; SUSAN L</t>
  </si>
  <si>
    <t>FOX FRED ANDREW &amp; DEBBIE MARIE</t>
  </si>
  <si>
    <t>2020EX01304</t>
  </si>
  <si>
    <t xml:space="preserve">638- Mini-warehouse           </t>
  </si>
  <si>
    <t xml:space="preserve">SK Hwy 3 Corridor-COM         </t>
  </si>
  <si>
    <t>4607-002-003-0101</t>
  </si>
  <si>
    <t>Mountain Valley Storage</t>
  </si>
  <si>
    <t>GALBREATH JASON L &amp; MONDAY N</t>
  </si>
  <si>
    <t>INNOVATICE RENTALS LLC</t>
  </si>
  <si>
    <t>2020EX01305</t>
  </si>
  <si>
    <t xml:space="preserve">134- 20-29 living units       </t>
  </si>
  <si>
    <t>012301-1-013-2000</t>
  </si>
  <si>
    <t>Point West Apartments</t>
  </si>
  <si>
    <t>4 - Right-of-way</t>
  </si>
  <si>
    <t>MACLEAN JAMES B &amp; ANNE</t>
  </si>
  <si>
    <t>KITSAP COUNTY PUBLIC WORKS</t>
  </si>
  <si>
    <t>2020EX01310</t>
  </si>
  <si>
    <t>212401-1-106-2003</t>
  </si>
  <si>
    <t>PACIFIC PRIDE SELF SERVICE</t>
  </si>
  <si>
    <t xml:space="preserve">MASCO PETROLEUM INC                 </t>
  </si>
  <si>
    <t xml:space="preserve">PETROCARD INC                       </t>
  </si>
  <si>
    <t>2020EX01338</t>
  </si>
  <si>
    <t xml:space="preserve">Central Kitsap                </t>
  </si>
  <si>
    <t>052401-3-042-2006</t>
  </si>
  <si>
    <t>SFR/Gar NW corner Chico/Northlake Wy</t>
  </si>
  <si>
    <t xml:space="preserve">COOPER DAVID A &amp; TERRY L            </t>
  </si>
  <si>
    <t xml:space="preserve">WEBB CHRISTOPHER THOMAS             </t>
  </si>
  <si>
    <t>2020EX01352</t>
  </si>
  <si>
    <t>8070-003-022-0006</t>
  </si>
  <si>
    <t>PYC 36LF</t>
  </si>
  <si>
    <t>HERRIOTT JON &amp; SUSAN</t>
  </si>
  <si>
    <t>GREENE WALTER SKINNER &amp; ROBIN SCOTT</t>
  </si>
  <si>
    <t>2020EX01361</t>
  </si>
  <si>
    <t xml:space="preserve">Bainbridge Island Condo Slips </t>
  </si>
  <si>
    <t>8055-003-024-0003</t>
  </si>
  <si>
    <t>Eagle Harbor C-24 46lf</t>
  </si>
  <si>
    <t>BRATTAIN GEORGIANNA &amp; WILLIAM</t>
  </si>
  <si>
    <t>EAGLE HARBOR MANAGEMENT LLC &amp;</t>
  </si>
  <si>
    <t>2020EX01404</t>
  </si>
  <si>
    <t>8070-001-021-0001</t>
  </si>
  <si>
    <t>HART JEAN R</t>
  </si>
  <si>
    <t>DYMENT HAROLD &amp; LINDA</t>
  </si>
  <si>
    <t>2020EX01456</t>
  </si>
  <si>
    <t xml:space="preserve">183- Sheds and garages        </t>
  </si>
  <si>
    <t>262502-3-148-2002</t>
  </si>
  <si>
    <t>Det Gar zoned ERICK on Ericksen</t>
  </si>
  <si>
    <t xml:space="preserve">BI--ERICK                     </t>
  </si>
  <si>
    <t xml:space="preserve">ERICKSEN VICTORIA LYNNETTE          </t>
  </si>
  <si>
    <t xml:space="preserve">VANDUINE JASON &amp; ELIZABETH M        </t>
  </si>
  <si>
    <t>2020EX01629</t>
  </si>
  <si>
    <t>8109-003-007-0000</t>
  </si>
  <si>
    <t>Village Home Bldg 3 Unit 7</t>
  </si>
  <si>
    <t>COBLE THOMAS H</t>
  </si>
  <si>
    <t>ROA HUMBERTO E &amp; SHANNON M</t>
  </si>
  <si>
    <t>2020EX01683</t>
  </si>
  <si>
    <t>342401-4-107-2001</t>
  </si>
  <si>
    <t>Tremont Health Center Lot A</t>
  </si>
  <si>
    <t xml:space="preserve">PO--BPMU Bus Prof Mix Use     </t>
  </si>
  <si>
    <t xml:space="preserve">TREMONT HEALTH CENTER LLC           </t>
  </si>
  <si>
    <t xml:space="preserve">PAIJE PROPERTIES LLC                </t>
  </si>
  <si>
    <t>2020EX01712</t>
  </si>
  <si>
    <t xml:space="preserve">720- Public assembly          </t>
  </si>
  <si>
    <t>062302-3-001-2004</t>
  </si>
  <si>
    <t>Port Orchard Eagles #92</t>
  </si>
  <si>
    <t>PORT ORCHARD AERIE NO.2338</t>
  </si>
  <si>
    <t>2020EX01761</t>
  </si>
  <si>
    <t xml:space="preserve">581- Fast food                </t>
  </si>
  <si>
    <t xml:space="preserve">Wheaton Way                   </t>
  </si>
  <si>
    <t>012401-2-130-2005</t>
  </si>
  <si>
    <t>Dutch Bros - Wheaton</t>
  </si>
  <si>
    <t xml:space="preserve">JAG RETAIL PROPERTIES &amp; JUST J      </t>
  </si>
  <si>
    <t xml:space="preserve">STORAGE PARTNERS OF WINTER PARK LTD </t>
  </si>
  <si>
    <t>2020EX01767</t>
  </si>
  <si>
    <t xml:space="preserve">507- Medical condo            </t>
  </si>
  <si>
    <t>8011-000-005-0005</t>
  </si>
  <si>
    <t>Main building  south of north end</t>
  </si>
  <si>
    <t>STAKER CHELSEA D</t>
  </si>
  <si>
    <t>KITSAP MENTAL HEALTH SERVICES</t>
  </si>
  <si>
    <t>2020EX01801</t>
  </si>
  <si>
    <t xml:space="preserve">College Marketplace           </t>
  </si>
  <si>
    <t>102601-2-043-2008</t>
  </si>
  <si>
    <t>Firestone Bldg</t>
  </si>
  <si>
    <t xml:space="preserve">PL--C4 College Marketplace    </t>
  </si>
  <si>
    <t xml:space="preserve">CMP INVESTMENT GROUP LLC            </t>
  </si>
  <si>
    <t xml:space="preserve">POULSBO BF BTS RETAIL LLC           </t>
  </si>
  <si>
    <t>2020EX01860</t>
  </si>
  <si>
    <t xml:space="preserve">Silverdale                    </t>
  </si>
  <si>
    <t>162501-4-062-2005</t>
  </si>
  <si>
    <t>Inlet View Apts</t>
  </si>
  <si>
    <t xml:space="preserve">CO--RC                        </t>
  </si>
  <si>
    <t>OLSONS INLET VIEW APARTMENTS L</t>
  </si>
  <si>
    <t>GRE BUSHLAC LANE LLC</t>
  </si>
  <si>
    <t>2020EX02024</t>
  </si>
  <si>
    <t>202501-1-071-2004</t>
  </si>
  <si>
    <t>Retail south of Jenne Wright field</t>
  </si>
  <si>
    <t>SILVERDALE CYCLERY BUILDING LL</t>
  </si>
  <si>
    <t>TRIBE OF FIVE RE LLC</t>
  </si>
  <si>
    <t>2020EX02047</t>
  </si>
  <si>
    <t xml:space="preserve">122- 3 living units           </t>
  </si>
  <si>
    <t>West Bremerton Unincorpora-COM</t>
  </si>
  <si>
    <t>4670-002-001-0006</t>
  </si>
  <si>
    <t>SFR converted to triplex</t>
  </si>
  <si>
    <t>GREEN DIANA &amp; JAMES DANIEL</t>
  </si>
  <si>
    <t>ZETTLE JOSEPH J</t>
  </si>
  <si>
    <t>2020EX02102</t>
  </si>
  <si>
    <t xml:space="preserve">580- Restaurants              </t>
  </si>
  <si>
    <t>3972-000-010-0006</t>
  </si>
  <si>
    <t>3558 Wheaton Way -former restaurant</t>
  </si>
  <si>
    <t xml:space="preserve">WHITLEY  MARIALYCE ANNE             </t>
  </si>
  <si>
    <t xml:space="preserve">SHIN JUNG J                         </t>
  </si>
  <si>
    <t>2020EX02119</t>
  </si>
  <si>
    <t xml:space="preserve">Silverdale UGA-COM            </t>
  </si>
  <si>
    <t>082501-1-040-2008</t>
  </si>
  <si>
    <t>SFR - Clear Creek</t>
  </si>
  <si>
    <t>ZWICKER HEIDI J</t>
  </si>
  <si>
    <t>KENNING CHRISTOPHER CARL &amp; JESSICA E</t>
  </si>
  <si>
    <t>2020EX02138</t>
  </si>
  <si>
    <t>8070-002-007-0007</t>
  </si>
  <si>
    <t>PYC 44LF</t>
  </si>
  <si>
    <t>SIMONS WILLIAM &amp; SUSAN</t>
  </si>
  <si>
    <t>SMITH TODD W</t>
  </si>
  <si>
    <t>2020EX02237</t>
  </si>
  <si>
    <t>062602-2-048-2008</t>
  </si>
  <si>
    <t>BL Bond Rd &amp; Stottlemeyer Rd.</t>
  </si>
  <si>
    <t xml:space="preserve">CO--REC                       </t>
  </si>
  <si>
    <t>DAY ROAD BUSINESS PARK LLC &amp;</t>
  </si>
  <si>
    <t>MONSAAS DAVID W &amp; SARAH J</t>
  </si>
  <si>
    <t>2020EX02254</t>
  </si>
  <si>
    <t>132401-3-145-2002</t>
  </si>
  <si>
    <t>2 retail shops w/SFR &amp; det gar</t>
  </si>
  <si>
    <t>BR--POMU Ped Oriented Mixed Us</t>
  </si>
  <si>
    <t>SW PACIFIC AVENUE APARTMENTS L</t>
  </si>
  <si>
    <t>SW AW LARSON BLDG LLC</t>
  </si>
  <si>
    <t>2020EX02289</t>
  </si>
  <si>
    <t xml:space="preserve">Viking Way                    </t>
  </si>
  <si>
    <t>152601-4-093-2008</t>
  </si>
  <si>
    <t>Napa Auto Parts</t>
  </si>
  <si>
    <t xml:space="preserve">PL--C2 Viking Avenue          </t>
  </si>
  <si>
    <t xml:space="preserve">PARKER GARY D TRUSTEE               </t>
  </si>
  <si>
    <t xml:space="preserve">GK WESTBAY LLC                      </t>
  </si>
  <si>
    <t>2020EX02314</t>
  </si>
  <si>
    <t>East Bremerton Uplands Cit-COM</t>
  </si>
  <si>
    <t>112401-1-012-2008</t>
  </si>
  <si>
    <t>SFR on Wheaton Way</t>
  </si>
  <si>
    <t>ROSECRANTS CLIFFORD L</t>
  </si>
  <si>
    <t>MENDOZA JUAN M &amp; MATIAS DOLORES P</t>
  </si>
  <si>
    <t>2020EX02348</t>
  </si>
  <si>
    <t>022301-2-050-2001</t>
  </si>
  <si>
    <t>Carstar</t>
  </si>
  <si>
    <t xml:space="preserve">PO--CC Coml Corridor          </t>
  </si>
  <si>
    <t>7 - Fulfillment of contract</t>
  </si>
  <si>
    <t>DAVIS AUDREY</t>
  </si>
  <si>
    <t>MANGAT RAVEENA</t>
  </si>
  <si>
    <t>2020EX02356</t>
  </si>
  <si>
    <t>PATTOM LLC</t>
  </si>
  <si>
    <t>2020EX02360</t>
  </si>
  <si>
    <t>3799-010-009-0009</t>
  </si>
  <si>
    <t>fourplex on 9th</t>
  </si>
  <si>
    <t xml:space="preserve">BR--R-10                      </t>
  </si>
  <si>
    <t>VELEZ RAYMOND</t>
  </si>
  <si>
    <t>JACKSON REINA</t>
  </si>
  <si>
    <t>2020EX02390</t>
  </si>
  <si>
    <t xml:space="preserve">822- Veterinarian services    </t>
  </si>
  <si>
    <t>3748-002-004-0003</t>
  </si>
  <si>
    <t>Bayview Veterinary</t>
  </si>
  <si>
    <t>SITTON SHAWNA R</t>
  </si>
  <si>
    <t>OYSTER BAY INVESTMENTS LLC</t>
  </si>
  <si>
    <t>2020EX02629</t>
  </si>
  <si>
    <t>162401-3-153-2008</t>
  </si>
  <si>
    <t>Warehouse on Bruenn</t>
  </si>
  <si>
    <t>JJKJ PROPERTY LLC</t>
  </si>
  <si>
    <t>IMONEY TOOLS LLC</t>
  </si>
  <si>
    <t>2020EX02630</t>
  </si>
  <si>
    <t>212401-1-028-2008</t>
  </si>
  <si>
    <t>SFR on Kean</t>
  </si>
  <si>
    <t>FOUR SEAS PROPERTIES LLC</t>
  </si>
  <si>
    <t>WELLE DENNIS &amp; WELLE PATRICIA</t>
  </si>
  <si>
    <t>2020EX02721</t>
  </si>
  <si>
    <t xml:space="preserve">North Kitsap                  </t>
  </si>
  <si>
    <t>292702-1-056-2001</t>
  </si>
  <si>
    <t>Warehouse off Minder Rd</t>
  </si>
  <si>
    <t>LAHN KEVIN K</t>
  </si>
  <si>
    <t>DSR ENTERPRISES LLC</t>
  </si>
  <si>
    <t>2020EX02815</t>
  </si>
  <si>
    <t xml:space="preserve">509- Other comml condo        </t>
  </si>
  <si>
    <t>8151-000-405-0001</t>
  </si>
  <si>
    <t>The Meridian on BI - Unit 405</t>
  </si>
  <si>
    <t>6 - Tax Deed</t>
  </si>
  <si>
    <t xml:space="preserve">KITSAP COUNTY TREASURER             </t>
  </si>
  <si>
    <t xml:space="preserve">MPM BI LLC                          </t>
  </si>
  <si>
    <t>2020EX02920</t>
  </si>
  <si>
    <t>162501-2-037-2001</t>
  </si>
  <si>
    <t>Silverdale Medical Center</t>
  </si>
  <si>
    <t>SILVERDALE MEDICAL CENTER LLC</t>
  </si>
  <si>
    <t>SILVERDALE HEALTH PARTNERS LLC</t>
  </si>
  <si>
    <t>2020EX02950</t>
  </si>
  <si>
    <t>8217-002-100-0007</t>
  </si>
  <si>
    <t>Flying Goat Unit B100</t>
  </si>
  <si>
    <t>COULSON MICHAEL &amp; ORELLANA PATRICIA</t>
  </si>
  <si>
    <t>2020EX03038</t>
  </si>
  <si>
    <t>262502-3-037-2006</t>
  </si>
  <si>
    <t>Retail shops w/no access 2nd flr</t>
  </si>
  <si>
    <t xml:space="preserve">BI--CORE                      </t>
  </si>
  <si>
    <t xml:space="preserve">WICKTOM MARCIA C &amp; LOWERY WILL      </t>
  </si>
  <si>
    <t xml:space="preserve">MERCER GRAHAM D &amp; THAYER NATHAN J   </t>
  </si>
  <si>
    <t>2020EX03048</t>
  </si>
  <si>
    <t>212501-1-164-2001</t>
  </si>
  <si>
    <t>Social Security Admin &amp; Sml office</t>
  </si>
  <si>
    <t>WOODWORTH FAMILY FOUNDATION</t>
  </si>
  <si>
    <t>FISKESETH LLC</t>
  </si>
  <si>
    <t>2020EX03186</t>
  </si>
  <si>
    <t>8070-003-017-0003</t>
  </si>
  <si>
    <t>ZIEGELMAYER HERBERT J JR TRUST</t>
  </si>
  <si>
    <t>ALEXANDER BOB &amp; TINA</t>
  </si>
  <si>
    <t>2020EX03232</t>
  </si>
  <si>
    <t xml:space="preserve">SK W. Hwy 16-COM              </t>
  </si>
  <si>
    <t>342301-1-010-2004</t>
  </si>
  <si>
    <t>Christian Life Center</t>
  </si>
  <si>
    <t>CHRISTIAN LIFE CENTER</t>
  </si>
  <si>
    <t>CALVARY CHURCH OF PORT ORCHARD</t>
  </si>
  <si>
    <t>2020EX03275</t>
  </si>
  <si>
    <t xml:space="preserve">Highway 305                   </t>
  </si>
  <si>
    <t>142601-2-060-2002</t>
  </si>
  <si>
    <t>Liberty Bank</t>
  </si>
  <si>
    <t xml:space="preserve">PL--C3 SR 305 Corridor        </t>
  </si>
  <si>
    <t>WESTERN ADVENTIST FOUNDATION</t>
  </si>
  <si>
    <t>LIBERTY BANK</t>
  </si>
  <si>
    <t>2020EX03287</t>
  </si>
  <si>
    <t>292702-2-040-2008</t>
  </si>
  <si>
    <t>Kingston Vault Self Storage</t>
  </si>
  <si>
    <t>AFFORDABLE SPARE ROOM STORAGE</t>
  </si>
  <si>
    <t>KINGSTON VAULT SELF STORAGE LLC</t>
  </si>
  <si>
    <t>2020EX03320</t>
  </si>
  <si>
    <t xml:space="preserve">South Kitsap UGA Other        </t>
  </si>
  <si>
    <t>342401-3-041-2002</t>
  </si>
  <si>
    <t>Warehouse - Leader International</t>
  </si>
  <si>
    <t xml:space="preserve">PO--LI Light Industrial       </t>
  </si>
  <si>
    <t>CARA LAND CO LLC</t>
  </si>
  <si>
    <t>SONNENBLUME HOLDINGS LLC</t>
  </si>
  <si>
    <t>2020EX03393</t>
  </si>
  <si>
    <t xml:space="preserve">460- Parking                  </t>
  </si>
  <si>
    <t>112401-1-013-2007</t>
  </si>
  <si>
    <t>Gravel parking lot Wheaton Way</t>
  </si>
  <si>
    <t xml:space="preserve">ROSECRANTS CLIFFORD L               </t>
  </si>
  <si>
    <t xml:space="preserve">MENDOZA JUAN M &amp; MATIAS DOLORES P   </t>
  </si>
  <si>
    <t>2020EX03474</t>
  </si>
  <si>
    <t>8217-001-120-0005</t>
  </si>
  <si>
    <t>Flying Goat Unit A120</t>
  </si>
  <si>
    <t>HOVEIDA BAHMAN TRUSTEE</t>
  </si>
  <si>
    <t>2020EX03560</t>
  </si>
  <si>
    <t>4369-000-010-0005</t>
  </si>
  <si>
    <t>2 SFRs &amp; MH 5th Ave</t>
  </si>
  <si>
    <t xml:space="preserve">PL--RL                        </t>
  </si>
  <si>
    <t>BAY LIBERTY PROPERTIES LLC</t>
  </si>
  <si>
    <t>MG PROPERTY MANAGEMENT</t>
  </si>
  <si>
    <t>2020EX03697</t>
  </si>
  <si>
    <t>8216-000-110-0000</t>
  </si>
  <si>
    <t>Waterfront offices- Unit 110</t>
  </si>
  <si>
    <t>WIDEMAN DAVID D &amp; AMELIA T</t>
  </si>
  <si>
    <t>KINCAID KYLE OHER &amp; ROBIN RENEE</t>
  </si>
  <si>
    <t>2020EX03775</t>
  </si>
  <si>
    <t>8070-001-034-0006</t>
  </si>
  <si>
    <t>Poulsbo Yacht Club 48lf</t>
  </si>
  <si>
    <t>LASSER ZITA C &amp; DAVID W</t>
  </si>
  <si>
    <t>PARKS KIRSTEN L</t>
  </si>
  <si>
    <t>2020EX03803</t>
  </si>
  <si>
    <t>8070-002-028-0002</t>
  </si>
  <si>
    <t>PYC 48LF</t>
  </si>
  <si>
    <t>SHAY MEGAN &amp; SCOTT</t>
  </si>
  <si>
    <t>SICADE ROBERT &amp; TERESA</t>
  </si>
  <si>
    <t>2020EX03828</t>
  </si>
  <si>
    <t>182501-3-010-2008</t>
  </si>
  <si>
    <t>Warehouse south of  Apex airport</t>
  </si>
  <si>
    <t xml:space="preserve">CO--IND                       </t>
  </si>
  <si>
    <t>RZS ENTERPRISES LLC</t>
  </si>
  <si>
    <t>TAHOMA CAPITAL PARTNERS LLC</t>
  </si>
  <si>
    <t>2020EX03995</t>
  </si>
  <si>
    <t xml:space="preserve">Downtown Poulsbo              </t>
  </si>
  <si>
    <t>4222-000-003-0001</t>
  </si>
  <si>
    <t>Masonic Hall, Retail, Office</t>
  </si>
  <si>
    <t xml:space="preserve">PL--C1 Downtown/Front         </t>
  </si>
  <si>
    <t>STRANDLOOF PROPERTIES LLC</t>
  </si>
  <si>
    <t>FRONT STREET DEVELOPMENT LLC</t>
  </si>
  <si>
    <t>2020EX04026</t>
  </si>
  <si>
    <t>8070-002-021-0009</t>
  </si>
  <si>
    <t>HOLT DAVID A &amp; ANN E</t>
  </si>
  <si>
    <t>PERLATTI CHRISTOPHER L</t>
  </si>
  <si>
    <t>2020EX04047</t>
  </si>
  <si>
    <t>5522-000-005-0003</t>
  </si>
  <si>
    <t>Wedgewood Apts-East half 4414</t>
  </si>
  <si>
    <t>SOUTHPLUS LLC</t>
  </si>
  <si>
    <t>LIU ESTHER</t>
  </si>
  <si>
    <t>2020EX04113</t>
  </si>
  <si>
    <t xml:space="preserve">135- 30-39 living units       </t>
  </si>
  <si>
    <t>252401-3-042-2002</t>
  </si>
  <si>
    <t>57 Degrees Plisko Apartments</t>
  </si>
  <si>
    <t xml:space="preserve">PO--CMU Coml Mix Use          </t>
  </si>
  <si>
    <t>WESTLAND KEYS LLC</t>
  </si>
  <si>
    <t>DISNEY &amp; ASSOCIATES INC</t>
  </si>
  <si>
    <t>2020EX04122</t>
  </si>
  <si>
    <t>8070-001-019-0005</t>
  </si>
  <si>
    <t>Poulsbo Yacht Club  44lf covered</t>
  </si>
  <si>
    <t>WOODS J MARK &amp; MARY BETH</t>
  </si>
  <si>
    <t>MACKALL ELIZABETH &amp; HOROWITZ MARK</t>
  </si>
  <si>
    <t>2020EX04150</t>
  </si>
  <si>
    <t>3704-004-013-0109</t>
  </si>
  <si>
    <t>Triplex Summit Ave</t>
  </si>
  <si>
    <t>BEST TODD</t>
  </si>
  <si>
    <t>LITTLE BERHANE D</t>
  </si>
  <si>
    <t>2020EX04153</t>
  </si>
  <si>
    <t>8070-001-028-0004</t>
  </si>
  <si>
    <t>HARRIS SUSAN B</t>
  </si>
  <si>
    <t>MAGNUSON ARDY &amp; NANKIVIL</t>
  </si>
  <si>
    <t>2020EX04171</t>
  </si>
  <si>
    <t xml:space="preserve">131- 5-9 living units         </t>
  </si>
  <si>
    <t>132401-3-172-2008</t>
  </si>
  <si>
    <t>712 Park Apartments</t>
  </si>
  <si>
    <t xml:space="preserve">BR--R20                       </t>
  </si>
  <si>
    <t>POULSBO WOODLANDS LLC</t>
  </si>
  <si>
    <t>ID ENT OZ LLC</t>
  </si>
  <si>
    <t>2020EX04253</t>
  </si>
  <si>
    <t>202501-1-098-2003</t>
  </si>
  <si>
    <t>SFR &amp; warehouse</t>
  </si>
  <si>
    <t>OLIVETO JAMES A &amp; BARBARA J</t>
  </si>
  <si>
    <t>HAMILTON JOHN E &amp; SUSAN M</t>
  </si>
  <si>
    <t>2020EX04300</t>
  </si>
  <si>
    <t>232601-1-064-2009</t>
  </si>
  <si>
    <t>Plaza 305</t>
  </si>
  <si>
    <t>PLAZA 305 ASSOCIATES LLC</t>
  </si>
  <si>
    <t>KINGSTON SOUND VIEW LLC</t>
  </si>
  <si>
    <t>2020EX04384</t>
  </si>
  <si>
    <t>5549-000-007-0000</t>
  </si>
  <si>
    <t>BL - Lot 7</t>
  </si>
  <si>
    <t>WEST HILLS DEVELOPMENT LLC</t>
  </si>
  <si>
    <t>CBH-1 LLC</t>
  </si>
  <si>
    <t>2020EX04440</t>
  </si>
  <si>
    <t>122301-2-094-2007</t>
  </si>
  <si>
    <t>Pottery Creek Phase II (2 of 2)</t>
  </si>
  <si>
    <t>SEDGEWICK JOINT VENTURE</t>
  </si>
  <si>
    <t>2102 SEDGWICK LLC</t>
  </si>
  <si>
    <t>2020EX04537</t>
  </si>
  <si>
    <t xml:space="preserve">504- Hangar condo             </t>
  </si>
  <si>
    <t>8164-015-006-0007</t>
  </si>
  <si>
    <t>T-Hangar B15-6 (Bld Only)</t>
  </si>
  <si>
    <t xml:space="preserve">NEBRES JULIE L                      </t>
  </si>
  <si>
    <t xml:space="preserve">HARTMAN JAMES                       </t>
  </si>
  <si>
    <t>2020EX04639</t>
  </si>
  <si>
    <t>8070-001-024-0008</t>
  </si>
  <si>
    <t>Poulsbo Yacht Club 48lf  A-24</t>
  </si>
  <si>
    <t>OSTERLI PHILIP &amp; LINDA</t>
  </si>
  <si>
    <t>TRUSTON THOMAS &amp; VIKKI</t>
  </si>
  <si>
    <t>2020EX04764</t>
  </si>
  <si>
    <t>8070-001-036-0004</t>
  </si>
  <si>
    <t>PACIOTTI MARK &amp; CAROL</t>
  </si>
  <si>
    <t>BUSCH BRUCE &amp; SHERRY</t>
  </si>
  <si>
    <t>2020EX04928</t>
  </si>
  <si>
    <t xml:space="preserve">Chico-COM                     </t>
  </si>
  <si>
    <t>172501-2-003-2000</t>
  </si>
  <si>
    <t>SFR on Old Frontier</t>
  </si>
  <si>
    <t>DODGE LEONARD D &amp; DAWN MARIE</t>
  </si>
  <si>
    <t>SICILIA MARIANNE</t>
  </si>
  <si>
    <t>2020EX04952</t>
  </si>
  <si>
    <t>272701-4-094-2002</t>
  </si>
  <si>
    <t>Warehouse Lot D</t>
  </si>
  <si>
    <t xml:space="preserve">CO--TTEC                      </t>
  </si>
  <si>
    <t>WEBSTER CRAIG A &amp; MARY E</t>
  </si>
  <si>
    <t>HOFFSTRUM LLC</t>
  </si>
  <si>
    <t>2020EX05018</t>
  </si>
  <si>
    <t>102601-4-059-2005</t>
  </si>
  <si>
    <t>Arendal Apartments</t>
  </si>
  <si>
    <t>VIKING AVENUE PROPERTIES LLC</t>
  </si>
  <si>
    <t>TWO BROTHERS INVESTMENT III LLC</t>
  </si>
  <si>
    <t>2020EX05022</t>
  </si>
  <si>
    <t>022301-1-013-2009</t>
  </si>
  <si>
    <t>Dr. Oien w/ K-9 train &amp; Pet Resort</t>
  </si>
  <si>
    <t>LIBERTY BANK OF WASHINGTON</t>
  </si>
  <si>
    <t>POAC HOLDING LLC</t>
  </si>
  <si>
    <t>2020EX05027</t>
  </si>
  <si>
    <t>3745-000-038-0109</t>
  </si>
  <si>
    <t>SFR on Auto Center used as Storage</t>
  </si>
  <si>
    <t>BAKER TIMOTHY J &amp; SUSAN B</t>
  </si>
  <si>
    <t>BCH-1 LLC</t>
  </si>
  <si>
    <t>2020EX05040</t>
  </si>
  <si>
    <t>012401-2-149-2004</t>
  </si>
  <si>
    <t>Domino's</t>
  </si>
  <si>
    <t>DMK INVESTMENTS LLC</t>
  </si>
  <si>
    <t>G &amp; K FAMILY ENTERPRISES LLC</t>
  </si>
  <si>
    <t>2020EX05048</t>
  </si>
  <si>
    <t>3745-000-038-0000</t>
  </si>
  <si>
    <t>Converted SFR Baker Electric</t>
  </si>
  <si>
    <t>2020EX05049</t>
  </si>
  <si>
    <t>3718-017-021-0006</t>
  </si>
  <si>
    <t>Retail and parking</t>
  </si>
  <si>
    <t xml:space="preserve">BCH-1 LLC                           </t>
  </si>
  <si>
    <t xml:space="preserve">BAKER TIMOTHY J &amp; SUSAN B           </t>
  </si>
  <si>
    <t>2020EX05293</t>
  </si>
  <si>
    <t xml:space="preserve">133- 15-19 living units       </t>
  </si>
  <si>
    <t>3784-001-006-0008</t>
  </si>
  <si>
    <t>Wedgewood Apartment</t>
  </si>
  <si>
    <t>WEDGEWOOD APARTMENTS LLC</t>
  </si>
  <si>
    <t>RECORD JUSTIN J &amp; SUSAN E</t>
  </si>
  <si>
    <t>2020EX05295</t>
  </si>
  <si>
    <t xml:space="preserve">Port Orchard UGA Downtown     </t>
  </si>
  <si>
    <t>4650-012-003-0007</t>
  </si>
  <si>
    <t>BL Bay &amp; Frederick Ave</t>
  </si>
  <si>
    <t xml:space="preserve">PO--DMU Downtown Mix Use      </t>
  </si>
  <si>
    <t xml:space="preserve">SW PO C LLC                         </t>
  </si>
  <si>
    <t xml:space="preserve">OLYMPIC BAYSIDE LLC                 </t>
  </si>
  <si>
    <t>2020EX05319</t>
  </si>
  <si>
    <t>012301-3-098-2004</t>
  </si>
  <si>
    <t>Sedgwick Plaza</t>
  </si>
  <si>
    <t xml:space="preserve">PO--CH Coml Heavy             </t>
  </si>
  <si>
    <t>I - Private easement sale</t>
  </si>
  <si>
    <t>STATSON ANDREW N &amp; CHERRYL R</t>
  </si>
  <si>
    <t>BRANSBY HOLDINGS LLC</t>
  </si>
  <si>
    <t>2020EX05385</t>
  </si>
  <si>
    <t>8056-004-008-0000</t>
  </si>
  <si>
    <t>WW D-8 42LF</t>
  </si>
  <si>
    <t>GERLACH MARCUS &amp; SUZANNE</t>
  </si>
  <si>
    <t>I O MARKETING LLC</t>
  </si>
  <si>
    <t>2020EX05427</t>
  </si>
  <si>
    <t>022401-4-071-2001</t>
  </si>
  <si>
    <t>Two Offices and Espresso site</t>
  </si>
  <si>
    <t xml:space="preserve">APOLLO PROPERTY MGMT LLC            </t>
  </si>
  <si>
    <t xml:space="preserve">SEA-KOTA INC                        </t>
  </si>
  <si>
    <t>2020EX05488</t>
  </si>
  <si>
    <t>022301-2-119-2000</t>
  </si>
  <si>
    <t>Fourplex 1 Lot Back From Lippert</t>
  </si>
  <si>
    <t xml:space="preserve">PO--R2                        </t>
  </si>
  <si>
    <t>GOLDEN DANIEL</t>
  </si>
  <si>
    <t>BAERG ALEXANDER THOMAS</t>
  </si>
  <si>
    <t>2020EX05619</t>
  </si>
  <si>
    <t>8070-003-031-0005</t>
  </si>
  <si>
    <t>CHAMBERLIN BRIAN &amp; TOBY M</t>
  </si>
  <si>
    <t>DANIELS LEONARD GEORGE III &amp; JUDEE</t>
  </si>
  <si>
    <t>2020EX05620</t>
  </si>
  <si>
    <t>232601-2-181-2005</t>
  </si>
  <si>
    <t>Retail/Office King Harold &amp; Anderson</t>
  </si>
  <si>
    <t xml:space="preserve">MENTOR COMPANY LLC                  </t>
  </si>
  <si>
    <t>COGSWELL PRESCOTT E &amp; DANA E TRUSTEE</t>
  </si>
  <si>
    <t>2020EX05696</t>
  </si>
  <si>
    <t>8070-001-009-0007</t>
  </si>
  <si>
    <t>PYC 44lf covered</t>
  </si>
  <si>
    <t>GILLESPIE JOHNNY R &amp; ANITA M</t>
  </si>
  <si>
    <t>SINCLAIR DUNCAN GORDON &amp; LORI LEIGH</t>
  </si>
  <si>
    <t>2020EX05742</t>
  </si>
  <si>
    <t>8070-002-024-0006</t>
  </si>
  <si>
    <t>PYC 40LF</t>
  </si>
  <si>
    <t>STEWART MARC &amp; JANE</t>
  </si>
  <si>
    <t>HAFFIE WILLIAM T &amp; SHELLEY A</t>
  </si>
  <si>
    <t>2020EX05804</t>
  </si>
  <si>
    <t xml:space="preserve">Harrison Heights              </t>
  </si>
  <si>
    <t>3966-004-002-0006</t>
  </si>
  <si>
    <t>BL Hemlock Street</t>
  </si>
  <si>
    <t xml:space="preserve">BR--EC Employment Ctr         </t>
  </si>
  <si>
    <t xml:space="preserve">ST PAULS EPISCOPAL CHURCH           </t>
  </si>
  <si>
    <t xml:space="preserve">EPISCOPAL RETIREMENT COMMUNITIES    </t>
  </si>
  <si>
    <t>2020EX05860</t>
  </si>
  <si>
    <t>4458-002-004-0001</t>
  </si>
  <si>
    <t>Office/ Conv Gar on McConnell Ave</t>
  </si>
  <si>
    <t xml:space="preserve">CO--NC                        </t>
  </si>
  <si>
    <t>COLLINS JOHN E</t>
  </si>
  <si>
    <t>MCVEY SUSAN ANNE &amp; MARK DANIEL</t>
  </si>
  <si>
    <t>2020EX05991</t>
  </si>
  <si>
    <t>3976-030-003-0008</t>
  </si>
  <si>
    <t>Bella Vista Cafe</t>
  </si>
  <si>
    <t>NOBAR INVESTMENTS LLC</t>
  </si>
  <si>
    <t>WILWYN PROPERTIES LLC</t>
  </si>
  <si>
    <t>2020EX06007</t>
  </si>
  <si>
    <t>8070-001-033-0007</t>
  </si>
  <si>
    <t>INGALLS JAMES A &amp; PATRICIA A</t>
  </si>
  <si>
    <t>DOLESHEK RICHARD J &amp; VIRGINIA K</t>
  </si>
  <si>
    <t>2020EX06009</t>
  </si>
  <si>
    <t>8070-002-039-0009</t>
  </si>
  <si>
    <t>HARADER ALLEN D</t>
  </si>
  <si>
    <t>KOPPEL JOHN</t>
  </si>
  <si>
    <t>2020EX06018</t>
  </si>
  <si>
    <t xml:space="preserve">Central Kitsap East           </t>
  </si>
  <si>
    <t>362501-2-010-2008</t>
  </si>
  <si>
    <t>Trailhead at the Preserve Apartments</t>
  </si>
  <si>
    <t xml:space="preserve">CO--UH                        </t>
  </si>
  <si>
    <t>EQUITY TRUST COMPANY ET AL</t>
  </si>
  <si>
    <t>TUV1 CORP</t>
  </si>
  <si>
    <t>2020EX06056</t>
  </si>
  <si>
    <t>3787-000-022-0007</t>
  </si>
  <si>
    <t>Taco Bell - Kitsap Way</t>
  </si>
  <si>
    <t xml:space="preserve">PAK CHAE S &amp; HYANG S                </t>
  </si>
  <si>
    <t xml:space="preserve">LEE JOO YOUNG &amp; PI DONG HEE &amp;       </t>
  </si>
  <si>
    <t>2020EX06144</t>
  </si>
  <si>
    <t>3718-006-028-0002</t>
  </si>
  <si>
    <t>5th St SFR</t>
  </si>
  <si>
    <t>CALNAN TIMOTHY G &amp; LISA D &amp; PH</t>
  </si>
  <si>
    <t>CRUMB JANINE R &amp; ELLEFSON BRIAN</t>
  </si>
  <si>
    <t>2020EX06192</t>
  </si>
  <si>
    <t>8070-002-004-0000</t>
  </si>
  <si>
    <t>Poulsbo Yacht Club B-4 30LF</t>
  </si>
  <si>
    <t>GREER JOHN P &amp; CARRIE L</t>
  </si>
  <si>
    <t>DOUGLAS JOHN F &amp; MARY</t>
  </si>
  <si>
    <t>2020EX06252</t>
  </si>
  <si>
    <t>292702-1-068-2007</t>
  </si>
  <si>
    <t>BL in industrial park off of Minder Rd</t>
  </si>
  <si>
    <t>BRYANT DAVID &amp; JACQUELYN</t>
  </si>
  <si>
    <t>THERMION REAL ESTATE HOLDING LLC</t>
  </si>
  <si>
    <t>2020EX06254</t>
  </si>
  <si>
    <t>012301-2-201-2000</t>
  </si>
  <si>
    <t>Dutch Bros - Bethel</t>
  </si>
  <si>
    <t>MMCG DBR PORT ORCHARD LLC</t>
  </si>
  <si>
    <t>OCEAN PARK LLC &amp; ROSATTO ASSOCIATES</t>
  </si>
  <si>
    <t>2020EX06293</t>
  </si>
  <si>
    <t>142401-2-142-2006</t>
  </si>
  <si>
    <t>Rainier Court Apts 2-SFR, 4-duplex</t>
  </si>
  <si>
    <t>MA DEUCE LLC</t>
  </si>
  <si>
    <t>KAIA HOLDINGS LLC</t>
  </si>
  <si>
    <t>2020EX06304</t>
  </si>
  <si>
    <t>082401-2-147-2009</t>
  </si>
  <si>
    <t>Northlake Way Self Storage</t>
  </si>
  <si>
    <t>QUANCE DEBORAHLEE F</t>
  </si>
  <si>
    <t>3050 NORTHLAKE WAY LLC</t>
  </si>
  <si>
    <t>2020EX06323</t>
  </si>
  <si>
    <t>8070-003-026-0002</t>
  </si>
  <si>
    <t>DEITCH DENNIS M &amp; DENISE D</t>
  </si>
  <si>
    <t>SHELDRUP JAMES &amp; LUISA</t>
  </si>
  <si>
    <t>2020EX06369</t>
  </si>
  <si>
    <t>8217-001-140-0001</t>
  </si>
  <si>
    <t>Flying Goat Unit A140</t>
  </si>
  <si>
    <t>CORBETT GERALD</t>
  </si>
  <si>
    <t>2020EX06400</t>
  </si>
  <si>
    <t>162401-4-060-2008</t>
  </si>
  <si>
    <t>The Lofts Apartments (former Birchwood)</t>
  </si>
  <si>
    <t>PACIFIC TERRACE LLC</t>
  </si>
  <si>
    <t>WESTERN SKIES TNC LLC</t>
  </si>
  <si>
    <t>2020EX06422</t>
  </si>
  <si>
    <t>8217-003-100-0005</t>
  </si>
  <si>
    <t>Flying Goat Unit C100</t>
  </si>
  <si>
    <t>KILLGORE THERESA</t>
  </si>
  <si>
    <t>2020EX06438</t>
  </si>
  <si>
    <t>8056-005-005-0000</t>
  </si>
  <si>
    <t>WW M-5 24LF</t>
  </si>
  <si>
    <t>LAUTER DAVID</t>
  </si>
  <si>
    <t>SHIP FACED LLC</t>
  </si>
  <si>
    <t>2020EX06473</t>
  </si>
  <si>
    <t>152601-1-113-2000</t>
  </si>
  <si>
    <t>Winton Wood I</t>
  </si>
  <si>
    <t>WINTON WOODS ASSOCIATES</t>
  </si>
  <si>
    <t>POST WINTON I LLC</t>
  </si>
  <si>
    <t>2020EX06475</t>
  </si>
  <si>
    <t xml:space="preserve">136- 40-49 living units       </t>
  </si>
  <si>
    <t>152601-1-114-2009</t>
  </si>
  <si>
    <t>Winton Wood II</t>
  </si>
  <si>
    <t>WINTON WOODS PHASE II ASSOCIAT</t>
  </si>
  <si>
    <t>POST WINTON II LP</t>
  </si>
  <si>
    <t>2020EX06487</t>
  </si>
  <si>
    <t>3718-024-027-0006</t>
  </si>
  <si>
    <t>Emmanuel Apostolic Church and School</t>
  </si>
  <si>
    <t xml:space="preserve">BR--DSD Dwntwn Support Dist.  </t>
  </si>
  <si>
    <t>EMMANUEL APOSTOLIC CHURCH INC</t>
  </si>
  <si>
    <t>KJK2 LLC</t>
  </si>
  <si>
    <t>2020EX06883</t>
  </si>
  <si>
    <t>162401-3-154-2007</t>
  </si>
  <si>
    <t>EXTRACTION TECHNOLOGIES LLC</t>
  </si>
  <si>
    <t>2020EX06900</t>
  </si>
  <si>
    <t>8070-002-041-0005</t>
  </si>
  <si>
    <t>MARKLUND LEONARD H &amp; GAYE L</t>
  </si>
  <si>
    <t>BAUMUELLER BARBARA</t>
  </si>
  <si>
    <t>2020EX06907</t>
  </si>
  <si>
    <t>8070-002-030-0008</t>
  </si>
  <si>
    <t>COURTIER CHARLES R &amp; LUCINDA J</t>
  </si>
  <si>
    <t>MAHONEY JOHN F &amp; MARGARET R</t>
  </si>
  <si>
    <t>2020EX06925</t>
  </si>
  <si>
    <t>3775-000-031-0000</t>
  </si>
  <si>
    <t>Multifamily units at 1110 Naval Ave</t>
  </si>
  <si>
    <t>1110 BRM LLC</t>
  </si>
  <si>
    <t>LAWSON MICHAEL</t>
  </si>
  <si>
    <t>2020EX06960</t>
  </si>
  <si>
    <t xml:space="preserve">550- Retail, automotive       </t>
  </si>
  <si>
    <t>212401-1-088-2005</t>
  </si>
  <si>
    <t>Uptown Auto Body Rebuild</t>
  </si>
  <si>
    <t xml:space="preserve">SCHARMACH BREMERTON LLC             </t>
  </si>
  <si>
    <t xml:space="preserve">ASLAKSON LLC                        </t>
  </si>
  <si>
    <t>2020EX07148</t>
  </si>
  <si>
    <t>222401-4-076-2002</t>
  </si>
  <si>
    <t>BL-1231 Charleston Bch Rd w/071/8</t>
  </si>
  <si>
    <t xml:space="preserve">KITSAP COUNTY PUBLIC WORKS          </t>
  </si>
  <si>
    <t xml:space="preserve">HOLMES ISAAC                        </t>
  </si>
  <si>
    <t>2020EX07284</t>
  </si>
  <si>
    <t>MACLEAN LLC</t>
  </si>
  <si>
    <t>POINTE WEST LLC</t>
  </si>
  <si>
    <t>2020EX07313</t>
  </si>
  <si>
    <t>362401-2-030-2005</t>
  </si>
  <si>
    <t>SFR Mitchell</t>
  </si>
  <si>
    <t>GEHRING GLENNYS R</t>
  </si>
  <si>
    <t>WILLIAMS GIBSON AND COMPANY LLC</t>
  </si>
  <si>
    <t>2020EX07405</t>
  </si>
  <si>
    <t>142401-2-127-2005</t>
  </si>
  <si>
    <t>5 Units @ 2416 15th Street</t>
  </si>
  <si>
    <t>BR--R18 Medium Density Residen</t>
  </si>
  <si>
    <t>SPROUSE ENTERPRISES LLC</t>
  </si>
  <si>
    <t>SCHEELER COREY ALAN &amp; STACI LEE</t>
  </si>
  <si>
    <t>2020EX07462</t>
  </si>
  <si>
    <t xml:space="preserve">Beach Drive-COM               </t>
  </si>
  <si>
    <t>302402-4-208-2002</t>
  </si>
  <si>
    <t>Integrity Repair Garage Horstman Rd</t>
  </si>
  <si>
    <t>BAIER MICHAEL &amp; VIVIAN</t>
  </si>
  <si>
    <t>APPLETON ROBERT M</t>
  </si>
  <si>
    <t>2020EX07630</t>
  </si>
  <si>
    <t>3718-006-001-0003</t>
  </si>
  <si>
    <t>4th &amp; Pacific Harlan Building</t>
  </si>
  <si>
    <t>SANDE EARL O &amp; AMY BURNETT</t>
  </si>
  <si>
    <t>LEVELMENT LLC</t>
  </si>
  <si>
    <t>2020EX07711</t>
  </si>
  <si>
    <t>3976-030-007-0004</t>
  </si>
  <si>
    <t>CoCo &amp; Company Salon</t>
  </si>
  <si>
    <t xml:space="preserve">BARROLL LAWRENCE                    </t>
  </si>
  <si>
    <t xml:space="preserve">CEJUDO PROPERTY HOLDINGS LLC        </t>
  </si>
  <si>
    <t>2020EX07772</t>
  </si>
  <si>
    <t xml:space="preserve">630- Flex Warehouse           </t>
  </si>
  <si>
    <t>202501-2-030-2002</t>
  </si>
  <si>
    <t>Warehouse between Hwy 3 &amp; Provost</t>
  </si>
  <si>
    <t>MITCHELL KATHLEEN I</t>
  </si>
  <si>
    <t>WEATHERS MARTIN W &amp; DANIELLE S</t>
  </si>
  <si>
    <t>2020EX07866</t>
  </si>
  <si>
    <t>3807-009-001-0108</t>
  </si>
  <si>
    <t>US Bank 6th and Naval</t>
  </si>
  <si>
    <t>PHLEGER JEAN</t>
  </si>
  <si>
    <t>BURRED INVESTMENTS LLC</t>
  </si>
  <si>
    <t>2020EX07878</t>
  </si>
  <si>
    <t>292702-1-030-2002</t>
  </si>
  <si>
    <t>The Attic Mini-Storage</t>
  </si>
  <si>
    <t>EARTH WISE PROPERTIES INC</t>
  </si>
  <si>
    <t>ISLAND EQUITY PARTNERS LLC</t>
  </si>
  <si>
    <t>2020EX07901</t>
  </si>
  <si>
    <t xml:space="preserve">121- 2 living units           </t>
  </si>
  <si>
    <t>232601-2-136-2001</t>
  </si>
  <si>
    <t>2-Units on 8th Ave</t>
  </si>
  <si>
    <t xml:space="preserve">MCMENAMIN PATRICK                   </t>
  </si>
  <si>
    <t xml:space="preserve">CRESCITELLI DAVID M &amp; ROSEMARY C    </t>
  </si>
  <si>
    <t>2020EX07916</t>
  </si>
  <si>
    <t>342401-4-087-2005</t>
  </si>
  <si>
    <t>Holly Park Prof</t>
  </si>
  <si>
    <t>YODER BRUCE L &amp; VICTORIA J TRU</t>
  </si>
  <si>
    <t>4803 CENTER ST LLC</t>
  </si>
  <si>
    <t>2020EX07940</t>
  </si>
  <si>
    <t>3712-001-006-0005</t>
  </si>
  <si>
    <t>4-Plex @ 636 Pleasant Ave</t>
  </si>
  <si>
    <t xml:space="preserve">BR--MR1 MultiFamily Res 1     </t>
  </si>
  <si>
    <t>SMITH PROPERTIES LLC</t>
  </si>
  <si>
    <t>SCOMA MICHAEL &amp; JENNIFER</t>
  </si>
  <si>
    <t>2020EX07947</t>
  </si>
  <si>
    <t>362401-2-026-2001</t>
  </si>
  <si>
    <t>Salon &amp; Barber Shop-Bethel</t>
  </si>
  <si>
    <t>NASH VIRGINIA</t>
  </si>
  <si>
    <t>ANDERSON GARY &amp; SUSAN</t>
  </si>
  <si>
    <t>2020EX07964</t>
  </si>
  <si>
    <t>302402-3-062-2009</t>
  </si>
  <si>
    <t>The Charleston Apartments</t>
  </si>
  <si>
    <t xml:space="preserve">PO--R3                        </t>
  </si>
  <si>
    <t>OVAH LLC</t>
  </si>
  <si>
    <t>FAC PORT ORCHARD LLC</t>
  </si>
  <si>
    <t>2020EX07966</t>
  </si>
  <si>
    <t>4031-002-016-0003</t>
  </si>
  <si>
    <t>BL south of S Kitsap Grocery</t>
  </si>
  <si>
    <t xml:space="preserve">PO--GMU Gateway Mix Use       </t>
  </si>
  <si>
    <t>GLENNYS GEHRING FAMILY LIMITED</t>
  </si>
  <si>
    <t>MARSHALL KELSIANA M &amp; CRINEAN IAN S</t>
  </si>
  <si>
    <t>2020EX08024</t>
  </si>
  <si>
    <t xml:space="preserve">South Liberty Bay-COM         </t>
  </si>
  <si>
    <t>4366-015-025-0009</t>
  </si>
  <si>
    <t>4-SFR Fir St</t>
  </si>
  <si>
    <t xml:space="preserve">CO--KVR                       </t>
  </si>
  <si>
    <t>CHICK ROGER F &amp; ANNE M</t>
  </si>
  <si>
    <t>HOSHAW CRYSTAL MARIE</t>
  </si>
  <si>
    <t>2020EX08033</t>
  </si>
  <si>
    <t>152601-4-086-2007</t>
  </si>
  <si>
    <t>Strip Mall Viking Way</t>
  </si>
  <si>
    <t>SHIN POLYGON LLC</t>
  </si>
  <si>
    <t>POULSBO INVESTMENT GROUP LLC</t>
  </si>
  <si>
    <t>2020EX08035</t>
  </si>
  <si>
    <t>4114-003-001-0008</t>
  </si>
  <si>
    <t>SFR</t>
  </si>
  <si>
    <t>BAIRD DAVID &amp; SARAH</t>
  </si>
  <si>
    <t>VASS WILLIAM &amp; STEELE SHARI</t>
  </si>
  <si>
    <t>2020EX08083</t>
  </si>
  <si>
    <t xml:space="preserve">483- Water systems            </t>
  </si>
  <si>
    <t xml:space="preserve">Port Madison Plat-COM         </t>
  </si>
  <si>
    <t>4167-000-239-0004</t>
  </si>
  <si>
    <t>Port Madison Water Co</t>
  </si>
  <si>
    <t xml:space="preserve">BI--R-2                       </t>
  </si>
  <si>
    <t>PORT MADISON WATER CO</t>
  </si>
  <si>
    <t>PUGET SOUND ENERGY INC</t>
  </si>
  <si>
    <t>2020EX08160</t>
  </si>
  <si>
    <t xml:space="preserve">150- MH community             </t>
  </si>
  <si>
    <t>102401-3-095-2005</t>
  </si>
  <si>
    <t>Rocky Point MHP</t>
  </si>
  <si>
    <t xml:space="preserve">CO--UM                        </t>
  </si>
  <si>
    <t>JAROS SISTERS VIEW PROPERTIES</t>
  </si>
  <si>
    <t>ROCKY POINT COMMUNITY LLC</t>
  </si>
  <si>
    <t>2020EX08161</t>
  </si>
  <si>
    <t xml:space="preserve">East Bremerton UGA-COM        </t>
  </si>
  <si>
    <t>062402-2-035-2005</t>
  </si>
  <si>
    <t>Illahee Shores MHP</t>
  </si>
  <si>
    <t xml:space="preserve">CO--GB                        </t>
  </si>
  <si>
    <t>3 - Partial interest</t>
  </si>
  <si>
    <t>DEREK JAROS PROPERTIES LLC &amp;</t>
  </si>
  <si>
    <t>ILLAHEE SHORES COMMUNITY LLC</t>
  </si>
  <si>
    <t>2020EX08262</t>
  </si>
  <si>
    <t>5319-000-019-0004</t>
  </si>
  <si>
    <t>CSWG &amp; Car Wash Silv Way/Bennington</t>
  </si>
  <si>
    <t>ESSKAY 4 INC</t>
  </si>
  <si>
    <t>SALL ENTERPRISES V LLC</t>
  </si>
  <si>
    <t>2020EX08287</t>
  </si>
  <si>
    <t>TUV1 CORP INC</t>
  </si>
  <si>
    <t>SAGE - TRAILHEAD LLC</t>
  </si>
  <si>
    <t>2020EX08296</t>
  </si>
  <si>
    <t>8070-003-007-0005</t>
  </si>
  <si>
    <t>SCHROEDER REINHARD</t>
  </si>
  <si>
    <t>RAMSEY RICHARD &amp; PAMELA</t>
  </si>
  <si>
    <t>2020EX08386</t>
  </si>
  <si>
    <t>212401-1-019-2009</t>
  </si>
  <si>
    <t>Cook Custom Homes</t>
  </si>
  <si>
    <t>2020EX08462</t>
  </si>
  <si>
    <t>8217-001-100-0009</t>
  </si>
  <si>
    <t>Flying Goat Unit A100</t>
  </si>
  <si>
    <t>2020EX08569</t>
  </si>
  <si>
    <t>8164-014-007-0009</t>
  </si>
  <si>
    <t>T-Hangar B14-7 (Bld Only)</t>
  </si>
  <si>
    <t>L - Lease property</t>
  </si>
  <si>
    <t xml:space="preserve">LEGACY TELECOMMUNICATIONS INC       </t>
  </si>
  <si>
    <t xml:space="preserve">HALL EDMOND L &amp; SANDRA NURMI        </t>
  </si>
  <si>
    <t>2020EX08670</t>
  </si>
  <si>
    <t>202501-1-017-2001</t>
  </si>
  <si>
    <t>SFR Corner Silverdale Way/Munson</t>
  </si>
  <si>
    <t>FOOTPRINT PROPERTIES LLC</t>
  </si>
  <si>
    <t>KITSAP INVESTMENT GROUP LLC</t>
  </si>
  <si>
    <t>2020EX08792</t>
  </si>
  <si>
    <t>302402-3-043-2003</t>
  </si>
  <si>
    <t>Starbucks Mile Hill</t>
  </si>
  <si>
    <t xml:space="preserve">1485 OLNEY ST LLC                   </t>
  </si>
  <si>
    <t xml:space="preserve">POWELL BARRY J TRUSTEE              </t>
  </si>
  <si>
    <t>2020EX08800</t>
  </si>
  <si>
    <t>102601-2-052-2006</t>
  </si>
  <si>
    <t>Lot 5A BL - College Marketplace</t>
  </si>
  <si>
    <t xml:space="preserve">PL--Business Park             </t>
  </si>
  <si>
    <t>CMP INVESTMENT GROUP LLC</t>
  </si>
  <si>
    <t>ANDVARI LLC</t>
  </si>
  <si>
    <t>2020EX08825</t>
  </si>
  <si>
    <t>8070-002-010-0002</t>
  </si>
  <si>
    <t>ROBERTS STEVEN &amp; BARBARA</t>
  </si>
  <si>
    <t>HARRISON JULES V TRUSTEE</t>
  </si>
  <si>
    <t>2020EX08908</t>
  </si>
  <si>
    <t>272502-4-101-2004</t>
  </si>
  <si>
    <t>Finch Place Offices w/Apartment</t>
  </si>
  <si>
    <t>GOLDFINCH LLC</t>
  </si>
  <si>
    <t>DORE TIM W &amp; JUNDANIAN THEONA</t>
  </si>
  <si>
    <t>2020EX08930</t>
  </si>
  <si>
    <t>272701-4-090-2006</t>
  </si>
  <si>
    <t>Shed on Corner Pioneer and Hwy 3</t>
  </si>
  <si>
    <t>GORDON H HANSON INC</t>
  </si>
  <si>
    <t>BYERS JAMES</t>
  </si>
  <si>
    <t>2020EX08967</t>
  </si>
  <si>
    <t>3797-028-007-0104</t>
  </si>
  <si>
    <t>Retail 6th &amp; High Ave</t>
  </si>
  <si>
    <t xml:space="preserve">BR--NB Neighborhood Business  </t>
  </si>
  <si>
    <t>KHABRIA INVESTMENTS LLC</t>
  </si>
  <si>
    <t>SAINIMORE INC</t>
  </si>
  <si>
    <t>2020EX09072</t>
  </si>
  <si>
    <t xml:space="preserve">503- Warehouse condo          </t>
  </si>
  <si>
    <t>8510-000-002-0004</t>
  </si>
  <si>
    <t>A - Unit 2</t>
  </si>
  <si>
    <t>WIXSON DAVID S &amp; CAROLYN L</t>
  </si>
  <si>
    <t>TECNICO CORPORATION</t>
  </si>
  <si>
    <t>2020EX09094</t>
  </si>
  <si>
    <t>4458-007-011-0100</t>
  </si>
  <si>
    <t>A Touch of French</t>
  </si>
  <si>
    <t xml:space="preserve">NAAT NAA LLC                        </t>
  </si>
  <si>
    <t xml:space="preserve">JN BARTON PROPERTIES LLC            </t>
  </si>
  <si>
    <t>2020EX09222</t>
  </si>
  <si>
    <t>312402-2-020-2001</t>
  </si>
  <si>
    <t>Taco Bell Mile Hill</t>
  </si>
  <si>
    <t>SKTTL VENTURES LLC</t>
  </si>
  <si>
    <t>LMO SPANAWAY LLC</t>
  </si>
  <si>
    <t>2020EX09292</t>
  </si>
  <si>
    <t>232601-1-089-2000</t>
  </si>
  <si>
    <t>Latte/Greens on your Way</t>
  </si>
  <si>
    <t xml:space="preserve">TRAN TUAN QUOC &amp; TUYET NHUNG T      </t>
  </si>
  <si>
    <t xml:space="preserve">FREDERICKSEN PROPERTIES  LLC        </t>
  </si>
  <si>
    <t>2020EX09336</t>
  </si>
  <si>
    <t>012301-2-143-2001</t>
  </si>
  <si>
    <t>Lund Pointe Apts</t>
  </si>
  <si>
    <t>LUND POINTE PROPERTIES LLC</t>
  </si>
  <si>
    <t>LUND POINTE 2020 LLC</t>
  </si>
  <si>
    <t>2020EX09419</t>
  </si>
  <si>
    <t>3719-001-027-0102</t>
  </si>
  <si>
    <t>SFR on Crawford off Kitsap Way</t>
  </si>
  <si>
    <t xml:space="preserve">INTERNATIONAL CHURCH OF THE FO      </t>
  </si>
  <si>
    <t>BROWNE MARIE LOUISE &amp; KINDRED TROY C</t>
  </si>
  <si>
    <t>2020EX09463</t>
  </si>
  <si>
    <t>8536-000-003-0003</t>
  </si>
  <si>
    <t>Masonic Lodge</t>
  </si>
  <si>
    <t xml:space="preserve">PL--Office Coml Industrial    </t>
  </si>
  <si>
    <t>FINN HILL LLC</t>
  </si>
  <si>
    <t>WARREN G HARDING TEMPLE ASSOCIATION</t>
  </si>
  <si>
    <t>2020EX09471</t>
  </si>
  <si>
    <t>8011-000-009-0001</t>
  </si>
  <si>
    <t>North building -West half</t>
  </si>
  <si>
    <t xml:space="preserve">GREEN JAMES M &amp; ANNE E              </t>
  </si>
  <si>
    <t xml:space="preserve">CMH PROPERTIES LLC                  </t>
  </si>
  <si>
    <t>2020EX09478</t>
  </si>
  <si>
    <t xml:space="preserve">850- Mining &amp; related svcs    </t>
  </si>
  <si>
    <t>202401-1-039-2006</t>
  </si>
  <si>
    <t>BL Werner Rd Mining</t>
  </si>
  <si>
    <t xml:space="preserve">BR--I Industrial              </t>
  </si>
  <si>
    <t xml:space="preserve">LOCKHART JOSEPH T                   </t>
  </si>
  <si>
    <t xml:space="preserve">MASSANA LAND CO LLC                 </t>
  </si>
  <si>
    <t>2020EX09479</t>
  </si>
  <si>
    <t>3719-001-028-0200</t>
  </si>
  <si>
    <t>Pendleton Place Apartments-EXEMPT</t>
  </si>
  <si>
    <t>PENDLETON PLACE LLC</t>
  </si>
  <si>
    <t>2020EX09493</t>
  </si>
  <si>
    <t>PENDLETON PLACE  LLC</t>
  </si>
  <si>
    <t>2020EX09510</t>
  </si>
  <si>
    <t>3718-015-016-0007</t>
  </si>
  <si>
    <t>Avebury Mystikals Inc</t>
  </si>
  <si>
    <t xml:space="preserve">SORIANO BROTHERS INVESTMENT CO      </t>
  </si>
  <si>
    <t xml:space="preserve">SORIANO JERRY L                     </t>
  </si>
  <si>
    <t>2020EX09545</t>
  </si>
  <si>
    <t xml:space="preserve">656- Convalescent centers     </t>
  </si>
  <si>
    <t>152401-3-175-2003</t>
  </si>
  <si>
    <t>Bay Point Retirement Center</t>
  </si>
  <si>
    <t>ARHC BPBRMWAO1 LLC</t>
  </si>
  <si>
    <t>EPC LANDLORD GROUP LLC</t>
  </si>
  <si>
    <t>2020EX09594</t>
  </si>
  <si>
    <t>102301-4-023-2001</t>
  </si>
  <si>
    <t>BL Sidney south of Sedgwick</t>
  </si>
  <si>
    <t xml:space="preserve">SMITH PAZ &amp; HENRY                   </t>
  </si>
  <si>
    <t xml:space="preserve">TUCALUPESI REAL ESTATE LLC          </t>
  </si>
  <si>
    <t>2020EX09670</t>
  </si>
  <si>
    <t>3978-000-011-0009</t>
  </si>
  <si>
    <t>Cedar Park Apts 2 of 2</t>
  </si>
  <si>
    <t>PROJECT S25 LLC</t>
  </si>
  <si>
    <t>2020EX09680</t>
  </si>
  <si>
    <t>3718-023-017-0109</t>
  </si>
  <si>
    <t>1002 4th St. - parking lot</t>
  </si>
  <si>
    <t xml:space="preserve">BREMERTON CHRISTIAN CENTER FOU      </t>
  </si>
  <si>
    <t xml:space="preserve">MILBRAD STUART TRUSTEE              </t>
  </si>
  <si>
    <t>2020EX09742</t>
  </si>
  <si>
    <t>3735-021-012-0008</t>
  </si>
  <si>
    <t>917 Wycoff Ave. Stusser Electric</t>
  </si>
  <si>
    <t>WYCOFF STATION LLC</t>
  </si>
  <si>
    <t>STP KITSAP 2 LLC</t>
  </si>
  <si>
    <t>2020EX09784</t>
  </si>
  <si>
    <t>162501-2-005-2009</t>
  </si>
  <si>
    <t>Whistle Workwear Castle Super Store</t>
  </si>
  <si>
    <t xml:space="preserve">SABINE FINANCIAL SERVICES INC       </t>
  </si>
  <si>
    <t xml:space="preserve">SILVERDALE REAL ESTATE LLC          </t>
  </si>
  <si>
    <t>2020EX09847</t>
  </si>
  <si>
    <t>8070-001-037-0003</t>
  </si>
  <si>
    <t>Poulsbo Yacht Club 44lf</t>
  </si>
  <si>
    <t>PLANTZ DONALD B JR &amp; BLYTH  BR</t>
  </si>
  <si>
    <t>GARCIA CHRIS &amp; MARY ELLEN</t>
  </si>
  <si>
    <t>2020EX09854</t>
  </si>
  <si>
    <t>052401-3-045-2003</t>
  </si>
  <si>
    <t>PWS Electric</t>
  </si>
  <si>
    <t>HARNETT LLC</t>
  </si>
  <si>
    <t>GREY FOX LLC</t>
  </si>
  <si>
    <t>2020EX09870</t>
  </si>
  <si>
    <t>082401-4-035-2000</t>
  </si>
  <si>
    <t>Retail Strip C-StockTheater &amp; Church</t>
  </si>
  <si>
    <t xml:space="preserve">THE FIRST BAPTIST CHURCH OF BR      </t>
  </si>
  <si>
    <t xml:space="preserve">BAIRD MELVIN &amp; SHANNA               </t>
  </si>
  <si>
    <t>2020EX09872</t>
  </si>
  <si>
    <t>122301-2-002-1000</t>
  </si>
  <si>
    <t>Aero MHP W/002-11(diff tax code)</t>
  </si>
  <si>
    <t xml:space="preserve">CO--BC                        </t>
  </si>
  <si>
    <t>ESSKA LLC</t>
  </si>
  <si>
    <t>AERO COMMUNITY LLC</t>
  </si>
  <si>
    <t>2020EX09899</t>
  </si>
  <si>
    <t>132401-2-050-2007</t>
  </si>
  <si>
    <t>952 Highland Apts</t>
  </si>
  <si>
    <t>WEBER JAMES &amp; MYRNA G</t>
  </si>
  <si>
    <t>TEGRIDY PROPERTIES LLC</t>
  </si>
  <si>
    <t>2020EX09904</t>
  </si>
  <si>
    <t>4600-012-009-0002</t>
  </si>
  <si>
    <t>Triplex McCall Blvd</t>
  </si>
  <si>
    <t>VIGIL JOSEPH E &amp; SHERI F</t>
  </si>
  <si>
    <t>SROUJI YOUSEF R Y</t>
  </si>
  <si>
    <t>2021EX00060</t>
  </si>
  <si>
    <t>MCCORMICK LAND CO</t>
  </si>
  <si>
    <t>2021EX00073</t>
  </si>
  <si>
    <t>Liberty Bay West/Keyport WF- C</t>
  </si>
  <si>
    <t>4366-002-006-0000</t>
  </si>
  <si>
    <t>Triplex Grandview Blvd</t>
  </si>
  <si>
    <t>THOMPSON JOHN</t>
  </si>
  <si>
    <t>THOMPSON SEAN</t>
  </si>
  <si>
    <t>2021EX00100</t>
  </si>
  <si>
    <t>8514-000-001-0001</t>
  </si>
  <si>
    <t>Unit A</t>
  </si>
  <si>
    <t>TUIG LLC</t>
  </si>
  <si>
    <t>NORTH RIDGE LAND MANAGEMENT LLC</t>
  </si>
  <si>
    <t>2021EX00132</t>
  </si>
  <si>
    <t>052401-3-043-2005</t>
  </si>
  <si>
    <t>Triplex 3405 Northlake Way</t>
  </si>
  <si>
    <t>COOPER DAVID A &amp; TERRY L</t>
  </si>
  <si>
    <t>SALO GREGORY &amp; PAULINE ROBERTA</t>
  </si>
  <si>
    <t>2021EX00149</t>
  </si>
  <si>
    <t>052401-3-032-2008</t>
  </si>
  <si>
    <t>Seabeck Pizza</t>
  </si>
  <si>
    <t xml:space="preserve">HUDSON STEVEN A                     </t>
  </si>
  <si>
    <t xml:space="preserve">3523 CHICO WAY LLC                  </t>
  </si>
  <si>
    <t>2021EX00165</t>
  </si>
  <si>
    <t>012301-1-007-1000</t>
  </si>
  <si>
    <t>HD Fowler</t>
  </si>
  <si>
    <t>THORNBRUE RICHARD D &amp; SCHAAF T</t>
  </si>
  <si>
    <t>H D LEGACY LLC</t>
  </si>
  <si>
    <t>2021EX00396</t>
  </si>
  <si>
    <t>3733-007-030-0007</t>
  </si>
  <si>
    <t>TJ'Z Gear &amp; Trim</t>
  </si>
  <si>
    <t xml:space="preserve">SHAW DANIEL &amp; REX GREGORY G         </t>
  </si>
  <si>
    <t xml:space="preserve">PURBAUGH FRANK &amp; JUN                </t>
  </si>
  <si>
    <t>2021EX00435</t>
  </si>
  <si>
    <t>232601-1-039-2001</t>
  </si>
  <si>
    <t>Office Building &amp; Retail</t>
  </si>
  <si>
    <t>MAKI MARVIN J &amp; MARIANNE</t>
  </si>
  <si>
    <t>NJOYLIFE HOLDINGS LLC</t>
  </si>
  <si>
    <t>2021EX00474</t>
  </si>
  <si>
    <t>8109-003-006-0001</t>
  </si>
  <si>
    <t>Village Home Bldg 3 Unit 6</t>
  </si>
  <si>
    <t>PUGET SOUND PROPERTY MANAGEMENT INC</t>
  </si>
  <si>
    <t>2021EX00512</t>
  </si>
  <si>
    <t>142601-4-012-2007</t>
  </si>
  <si>
    <t>Montclair Park At Poulsbo</t>
  </si>
  <si>
    <t>HCP SH ELP2 PROPERTIES LLC</t>
  </si>
  <si>
    <t>OHI ASSET WA POULSBO LLC</t>
  </si>
  <si>
    <t>2021EX00527</t>
  </si>
  <si>
    <t>122401-2-031-2002</t>
  </si>
  <si>
    <t>The Visual Center</t>
  </si>
  <si>
    <t xml:space="preserve">MCKINNEY MICHAEL J &amp; CAROL L        </t>
  </si>
  <si>
    <t xml:space="preserve">WHITEMARSH DAVID B &amp; RUTH M         </t>
  </si>
  <si>
    <t>2021EX00594</t>
  </si>
  <si>
    <t>3745-000-039-0009</t>
  </si>
  <si>
    <t>SFR (NV) Auto Center</t>
  </si>
  <si>
    <t>WISE CLARENCE L 50% &amp; WISE KEV</t>
  </si>
  <si>
    <t>2021EX00599</t>
  </si>
  <si>
    <t>322401-1-076-2006</t>
  </si>
  <si>
    <t>BL - Access to Navy City Metal</t>
  </si>
  <si>
    <t xml:space="preserve">CO--LIC                       </t>
  </si>
  <si>
    <t xml:space="preserve">LONDON TINA                         </t>
  </si>
  <si>
    <t xml:space="preserve">NCM HAULING LLC                     </t>
  </si>
  <si>
    <t>2021EX00616</t>
  </si>
  <si>
    <t>8141-011-001-0009</t>
  </si>
  <si>
    <t>Box B11-1</t>
  </si>
  <si>
    <t>GRIGER MARY K TRUSTEE</t>
  </si>
  <si>
    <t>SALE MARK W &amp; CHRISTINE R</t>
  </si>
  <si>
    <t>2021EX00649</t>
  </si>
  <si>
    <t>8070-002-019-0003</t>
  </si>
  <si>
    <t>OMORCHOE DAVID J C &amp; PATRICE I</t>
  </si>
  <si>
    <t>STOCKTON BROOK &amp; JENNIFER</t>
  </si>
  <si>
    <t>2021EX00665</t>
  </si>
  <si>
    <t>3795-002-004-0005</t>
  </si>
  <si>
    <t>Triplex on 5th St</t>
  </si>
  <si>
    <t>CHIVINGTON CHRISTOPHER A</t>
  </si>
  <si>
    <t>MALLORY EARNEST PAUL III &amp; WU TIFFAN</t>
  </si>
  <si>
    <t>2021EX00710</t>
  </si>
  <si>
    <t>5392-000-006-0009</t>
  </si>
  <si>
    <t>Nexus Electric</t>
  </si>
  <si>
    <t>WEST SOUND TREATMENT CENTER</t>
  </si>
  <si>
    <t>TREMONT COMMERCIAL LLC</t>
  </si>
  <si>
    <t>2021EX00737</t>
  </si>
  <si>
    <t>3785-002-001-0000</t>
  </si>
  <si>
    <t>Kitsap Inn Apartments</t>
  </si>
  <si>
    <t>KITSAP INN ENTERPRISE LLC</t>
  </si>
  <si>
    <t>BPM1 LLC</t>
  </si>
  <si>
    <t>2021EX00795</t>
  </si>
  <si>
    <t>8123-000-124-0006</t>
  </si>
  <si>
    <t>Madrona Commons Bldg A Unit 124</t>
  </si>
  <si>
    <t>OZZY HOLDINGS LLC</t>
  </si>
  <si>
    <t>BANG KNUDSEN PETER SR</t>
  </si>
  <si>
    <t>2021EX00845</t>
  </si>
  <si>
    <t>8171-016-002-0000</t>
  </si>
  <si>
    <t>Box Hangar B16-2</t>
  </si>
  <si>
    <t>SHIPLEY RICHARD M &amp; SUE A</t>
  </si>
  <si>
    <t>WALLITNER AVIATION AND RESTORATION L</t>
  </si>
  <si>
    <t>2021EX00857</t>
  </si>
  <si>
    <t>8164-015-007-0006</t>
  </si>
  <si>
    <t>T-Hangar B15-7</t>
  </si>
  <si>
    <t>SHIPLEY RICHARD MELVIN &amp; SUE A</t>
  </si>
  <si>
    <t>JACKSON TRISA ANN</t>
  </si>
  <si>
    <t>2021EX00873</t>
  </si>
  <si>
    <t>362501-3-067-2008</t>
  </si>
  <si>
    <t>3 SFRs on Almira-access via Fred Meyer pkg lot</t>
  </si>
  <si>
    <t>LANDER COMMUNITY DEVELOPMENT L</t>
  </si>
  <si>
    <t>TUV3 CORP</t>
  </si>
  <si>
    <t>2021EX00900</t>
  </si>
  <si>
    <t>172501-4-091-2009</t>
  </si>
  <si>
    <t>Wellington Apartments Phase I &amp; II</t>
  </si>
  <si>
    <t>GEMINI WELLINGTON FEE OWNER LL</t>
  </si>
  <si>
    <t>JSP WELLINGTON LLC &amp; GB WELLINGTON L</t>
  </si>
  <si>
    <t>2021EX00914</t>
  </si>
  <si>
    <t xml:space="preserve">Downtown Port Orchard-COM     </t>
  </si>
  <si>
    <t>4027-012-020-0002</t>
  </si>
  <si>
    <t>Triplex Farragut Ave</t>
  </si>
  <si>
    <t>SCOTT DARRELL W &amp; ELIZABETH</t>
  </si>
  <si>
    <t>SCOTT FAMILY INVESTMENT INC</t>
  </si>
  <si>
    <t>2021EX01005</t>
  </si>
  <si>
    <t>4110-000-005-0004</t>
  </si>
  <si>
    <t>SFR on Wyatt</t>
  </si>
  <si>
    <t>CHRISTIANSON DAVE R &amp; MCGUIRE</t>
  </si>
  <si>
    <t>SAMSON KELLY A</t>
  </si>
  <si>
    <t>2021EX01054</t>
  </si>
  <si>
    <t>8217-002-120-0003</t>
  </si>
  <si>
    <t>Flying Goat Unit B120</t>
  </si>
  <si>
    <t>CLARK CONSTRUCTION LLC</t>
  </si>
  <si>
    <t>2021EX01055</t>
  </si>
  <si>
    <t>8217-002-140-0009</t>
  </si>
  <si>
    <t>Flying Goat Unit B140</t>
  </si>
  <si>
    <t>2021EX01097</t>
  </si>
  <si>
    <t>3967-001-012-0108</t>
  </si>
  <si>
    <t>Westsound Medical Building</t>
  </si>
  <si>
    <t>PERRY SHEILA TRUSTEE</t>
  </si>
  <si>
    <t>BUILDING 5 LLC &amp; D &amp; E ENTERPRISES L</t>
  </si>
  <si>
    <t>2021EX01137</t>
  </si>
  <si>
    <t>142601-3-039-2008</t>
  </si>
  <si>
    <t>Valley View Apts - Poulsbo</t>
  </si>
  <si>
    <t>VALLEY VIEW LLC</t>
  </si>
  <si>
    <t>POULSBO 36 IPM LLC</t>
  </si>
  <si>
    <t>2021EX01229</t>
  </si>
  <si>
    <t>543- Conv. store w/o gas pumps</t>
  </si>
  <si>
    <t xml:space="preserve">Colvos Pass WF                </t>
  </si>
  <si>
    <t>032202-3-004-2005</t>
  </si>
  <si>
    <t>Olalla Bay Market</t>
  </si>
  <si>
    <t>AHA INVESTMENTS LLC</t>
  </si>
  <si>
    <t>OLSEN GREGG &amp; CLAUDIA</t>
  </si>
  <si>
    <t>2021EX01238</t>
  </si>
  <si>
    <t>4625-000-001-0006</t>
  </si>
  <si>
    <t>Magnolia Professional Plaza</t>
  </si>
  <si>
    <t>MAGNOLIA PROFESSIONAL PLAZA LL</t>
  </si>
  <si>
    <t>JTS PROPERTIES OF WASHINGTON LLC</t>
  </si>
  <si>
    <t>2021EX01271</t>
  </si>
  <si>
    <t xml:space="preserve">West Bremerton Salt Wtrft-COM </t>
  </si>
  <si>
    <t>132401-3-006-2000</t>
  </si>
  <si>
    <t>5 Units @ 610 Washington Ave</t>
  </si>
  <si>
    <t>MONTEREY BRIDGES WATERFRONT LL</t>
  </si>
  <si>
    <t>BROADVIEW WASHINGTON QUALIFIED OPPOR</t>
  </si>
  <si>
    <t>2021EX01273</t>
  </si>
  <si>
    <t>4601-000-024-0106</t>
  </si>
  <si>
    <t>Triplex on Harrison</t>
  </si>
  <si>
    <t>HOLLOWAY IDA ARNETTE ESTATE</t>
  </si>
  <si>
    <t>MIDAS HOMES LLC</t>
  </si>
  <si>
    <t>2021EX01296</t>
  </si>
  <si>
    <t>8070-002-032-0006</t>
  </si>
  <si>
    <t>HELLER JAN C &amp; LINDA S</t>
  </si>
  <si>
    <t>FUNKE JUERGEN</t>
  </si>
  <si>
    <t>2021EX01300</t>
  </si>
  <si>
    <t>202501-1-107-2002</t>
  </si>
  <si>
    <t>Fourplex on Silverdale Loop</t>
  </si>
  <si>
    <t>QPH 2 LLC</t>
  </si>
  <si>
    <t>OROURKE RICKY KEITH &amp; ELIZABETH</t>
  </si>
  <si>
    <t>2021EX01427</t>
  </si>
  <si>
    <t xml:space="preserve">530- Retail Drug Store        </t>
  </si>
  <si>
    <t>272702-2-044-2006</t>
  </si>
  <si>
    <t>Kingston Rite Aid SE/Georges Corner</t>
  </si>
  <si>
    <t>DJM NNN FUND II HOLDINGS ONE L</t>
  </si>
  <si>
    <t>TNG OZ I LLC &amp; NG20 LP &amp; NIKI HOLDIN</t>
  </si>
  <si>
    <t>2021EX01443</t>
  </si>
  <si>
    <t>8070-005-008-0009</t>
  </si>
  <si>
    <t>PYC 50LF</t>
  </si>
  <si>
    <t>SCHWARTZ MARTIN &amp; INEZ</t>
  </si>
  <si>
    <t>BROWN DAVID &amp; DANA</t>
  </si>
  <si>
    <t>2021EX01499</t>
  </si>
  <si>
    <t>112401-1-038-2008</t>
  </si>
  <si>
    <t>BL-Wheaton</t>
  </si>
  <si>
    <t>PAYNE JAMIE</t>
  </si>
  <si>
    <t>KIM JAE</t>
  </si>
  <si>
    <t>2021EX01554</t>
  </si>
  <si>
    <t>3787-000-014-0502</t>
  </si>
  <si>
    <t>BL- one lot off Kitsap Way</t>
  </si>
  <si>
    <t>TAYLOR LARRY &amp; GAIL GEORGIA</t>
  </si>
  <si>
    <t>WAGEMANS CASE</t>
  </si>
  <si>
    <t>2021EX01605</t>
  </si>
  <si>
    <t xml:space="preserve">Central Kitsap West           </t>
  </si>
  <si>
    <t>232501-4-019-2000</t>
  </si>
  <si>
    <t>RICHARDSON LOIS I</t>
  </si>
  <si>
    <t>VAN BEYNUM REINOUT &amp; SARKORN</t>
  </si>
  <si>
    <t>2021EX01632</t>
  </si>
  <si>
    <t>152601-4-001-2009</t>
  </si>
  <si>
    <t>Hidden Cove Apartments</t>
  </si>
  <si>
    <t>FLAMAN ANDREW C &amp; PAMELA K</t>
  </si>
  <si>
    <t>BPM2 LLC</t>
  </si>
  <si>
    <t>2021EX01656</t>
  </si>
  <si>
    <t>022301-4-094-2005</t>
  </si>
  <si>
    <t>Bethel &amp; Sedgwick Shell CSWG</t>
  </si>
  <si>
    <t>JC MAPLE LLC</t>
  </si>
  <si>
    <t>WENDY JO CORPORATION</t>
  </si>
  <si>
    <t>2021EX01773</t>
  </si>
  <si>
    <t xml:space="preserve">THE PADUA CORPORATION               </t>
  </si>
  <si>
    <t>2021EX01917</t>
  </si>
  <si>
    <t>3965-000-182-0106</t>
  </si>
  <si>
    <t>Fourplex on Clare Ave</t>
  </si>
  <si>
    <t>FELTON LLC</t>
  </si>
  <si>
    <t>MENDIS ERIC</t>
  </si>
  <si>
    <t>2021EX01992</t>
  </si>
  <si>
    <t>142601-4-077-2009</t>
  </si>
  <si>
    <t>Olympic Resources</t>
  </si>
  <si>
    <t>POWDER HILL CAPITAL LLC</t>
  </si>
  <si>
    <t>PJP 1 LLC</t>
  </si>
  <si>
    <t>2021EX02018</t>
  </si>
  <si>
    <t>4682-000-005-0002</t>
  </si>
  <si>
    <t>BL contig w/eye clinic lot.</t>
  </si>
  <si>
    <t>BLACK NANCY J TRUSTEE</t>
  </si>
  <si>
    <t>DOWNEAST DEVELOPMENT LLC</t>
  </si>
  <si>
    <t>2021EX02019</t>
  </si>
  <si>
    <t>3729-000-063-0008</t>
  </si>
  <si>
    <t>Triplex Ford Ave</t>
  </si>
  <si>
    <t>LUOMA JOHN E &amp; STEPHANIE K</t>
  </si>
  <si>
    <t>STANLEY JUSTIN T &amp; EMILY O</t>
  </si>
  <si>
    <t>2021EX02031</t>
  </si>
  <si>
    <t>PFEIFER KELLIE K</t>
  </si>
  <si>
    <t>2021EX02076</t>
  </si>
  <si>
    <t>3778-005-004-0009</t>
  </si>
  <si>
    <t>SFR on Naval &amp; Burwell</t>
  </si>
  <si>
    <t xml:space="preserve">S &amp; K GLOBAL SOLUTIONS LLC          </t>
  </si>
  <si>
    <t xml:space="preserve">MUNLEY BRIAN J                      </t>
  </si>
  <si>
    <t>2021EX02188</t>
  </si>
  <si>
    <t xml:space="preserve">Highway 303 East Bremerton    </t>
  </si>
  <si>
    <t>232501-4-017-2002</t>
  </si>
  <si>
    <t>BL off Highway 303</t>
  </si>
  <si>
    <t xml:space="preserve">BREMERTON KOREAN PRESBYTERIAN       </t>
  </si>
  <si>
    <t xml:space="preserve">TWAE JI LLC                         </t>
  </si>
  <si>
    <t>2021EX02189</t>
  </si>
  <si>
    <t>362401-3-003-2006</t>
  </si>
  <si>
    <t>Norm Olson Survey</t>
  </si>
  <si>
    <t>BETHEL DEVELOPMENT GROUP LLC</t>
  </si>
  <si>
    <t>NLO RIVER LLC</t>
  </si>
  <si>
    <t>2021EX02204</t>
  </si>
  <si>
    <t>292702-3-094-2001</t>
  </si>
  <si>
    <t>Warehouse Lot C Bond Rd. Bus. Pk. S</t>
  </si>
  <si>
    <t>WASHINGTON STATE FRY PROPERTIE</t>
  </si>
  <si>
    <t>OLYMPIC MOUNTAIN VIEW LLC</t>
  </si>
  <si>
    <t>2021EX02230</t>
  </si>
  <si>
    <t>262502-3-091-2009</t>
  </si>
  <si>
    <t>Fairbank Construction Co.</t>
  </si>
  <si>
    <t xml:space="preserve">KUSHNER EDWARD J &amp; KAREN A          </t>
  </si>
  <si>
    <t xml:space="preserve">220 GROUP LLC                       </t>
  </si>
  <si>
    <t>2021EX02258</t>
  </si>
  <si>
    <t>4458-007-010-0101</t>
  </si>
  <si>
    <t>Lowell Bldg</t>
  </si>
  <si>
    <t>BROUGHTON WILLIAM &amp; MORAN KEVI</t>
  </si>
  <si>
    <t>9057 WASHINGTON LLC</t>
  </si>
  <si>
    <t>2021EX02424</t>
  </si>
  <si>
    <t>162501-3-024-2004</t>
  </si>
  <si>
    <t>Office Bldg - Ridgetop Blvd</t>
  </si>
  <si>
    <t>APOLLO PROPERTY MGMT LLC</t>
  </si>
  <si>
    <t>SINGHBROTHERS LLC</t>
  </si>
  <si>
    <t>2021EX02559</t>
  </si>
  <si>
    <t>8109-002-004-0005</t>
  </si>
  <si>
    <t>Village Home Bldg 2 Unit 4</t>
  </si>
  <si>
    <t>KENNEDY KELLY J</t>
  </si>
  <si>
    <t>2021EX02624</t>
  </si>
  <si>
    <t>332402-2-065-2005</t>
  </si>
  <si>
    <t>BL SE Mile Hill</t>
  </si>
  <si>
    <t>PILGER ROBERT</t>
  </si>
  <si>
    <t>KVINSLAND LARS &amp; EVOY MEGAN ELIZABET</t>
  </si>
  <si>
    <t>2021EX02684</t>
  </si>
  <si>
    <t>362401-2-097-2005</t>
  </si>
  <si>
    <t>Strip Retail Mile Hill</t>
  </si>
  <si>
    <t>SOUTH KITSAP MALL INC</t>
  </si>
  <si>
    <t>LIG PROPERTIES LLC</t>
  </si>
  <si>
    <t>2021EX02816</t>
  </si>
  <si>
    <t>222702-3-009-2002</t>
  </si>
  <si>
    <t>Puerto Vallarta - Georges Corner</t>
  </si>
  <si>
    <t>PUERTO VALLARTA OF KINGSTON LL</t>
  </si>
  <si>
    <t>2021EX02856</t>
  </si>
  <si>
    <t>3968-001-020-0206</t>
  </si>
  <si>
    <t>Triplex Schley Blvd</t>
  </si>
  <si>
    <t>WRIGHT RICHARD A &amp; CHERI A</t>
  </si>
  <si>
    <t>FISCH MELANIE &amp; TIBBALS TRACY LOWMAN</t>
  </si>
  <si>
    <t>2021EX02879</t>
  </si>
  <si>
    <t>5513-000-001-0008</t>
  </si>
  <si>
    <t>J &amp; M Office Suiltes</t>
  </si>
  <si>
    <t xml:space="preserve">J &amp; M OFFICE SUITES LLC             </t>
  </si>
  <si>
    <t>2021EX02885</t>
  </si>
  <si>
    <t>262502-2-081-2003</t>
  </si>
  <si>
    <t>Winslow Animal Clinic</t>
  </si>
  <si>
    <t>PENN THOMAS B &amp; KATHLEEN L</t>
  </si>
  <si>
    <t>LGB PROPERTIES LLC</t>
  </si>
  <si>
    <t>2021EX02928</t>
  </si>
  <si>
    <t>8220-000-001-0006</t>
  </si>
  <si>
    <t>Unit 9910A First Floor</t>
  </si>
  <si>
    <t>SANA A LLC</t>
  </si>
  <si>
    <t>AGAPE ESTATES I LLC</t>
  </si>
  <si>
    <t>2021EX02953</t>
  </si>
  <si>
    <t>3802-003-001-0007</t>
  </si>
  <si>
    <t>Store, 2 apartments and 2 SFR's</t>
  </si>
  <si>
    <t>GRYPHON VENTURES LLC</t>
  </si>
  <si>
    <t>RUBIN EVELYN A &amp; AQUINO JENNIFER B</t>
  </si>
  <si>
    <t>2021EX03008</t>
  </si>
  <si>
    <t>102601-3-026-2007</t>
  </si>
  <si>
    <t>Geodesic dome office Finn Hill</t>
  </si>
  <si>
    <t>FINN HILL TWO LLC</t>
  </si>
  <si>
    <t>NIELSEN KURT</t>
  </si>
  <si>
    <t>2021EX03027</t>
  </si>
  <si>
    <t>232601-1-057-2008</t>
  </si>
  <si>
    <t>Blossom Poulsbo</t>
  </si>
  <si>
    <t>DENG TENDY</t>
  </si>
  <si>
    <t>TD88 LLC</t>
  </si>
  <si>
    <t>2021EX03098</t>
  </si>
  <si>
    <t>022301-2-133-2002</t>
  </si>
  <si>
    <t>Fourplex on Sidney</t>
  </si>
  <si>
    <t>ROGERS JOHN &amp; SILVIA</t>
  </si>
  <si>
    <t>WRIGHT CAROL &amp; OBRIEN PATRICK &amp; HILL</t>
  </si>
  <si>
    <t>2021EX03165</t>
  </si>
  <si>
    <t>4607-002-002-0409</t>
  </si>
  <si>
    <t>Warehouse on Olympic - Gorst</t>
  </si>
  <si>
    <t>SYMINGTON JOHN D</t>
  </si>
  <si>
    <t>MCCALMAN INVESTMENT GROUP COMMERCIAL</t>
  </si>
  <si>
    <t>2021EX03182</t>
  </si>
  <si>
    <t>3823-000-003-0006</t>
  </si>
  <si>
    <t>The Factory Fitness Center</t>
  </si>
  <si>
    <t>RINGO LLC</t>
  </si>
  <si>
    <t>AUTO CENTER BLVD LLC</t>
  </si>
  <si>
    <t>2021EX03192</t>
  </si>
  <si>
    <t>4053-005-002-0005</t>
  </si>
  <si>
    <t>Former Church Crnr Delkab/Harrison</t>
  </si>
  <si>
    <t>CAPITAL CHRISTIAN CENTER</t>
  </si>
  <si>
    <t>AMICI HOUSE LLC</t>
  </si>
  <si>
    <t>2021EX03207</t>
  </si>
  <si>
    <t>4609-000-002-0302</t>
  </si>
  <si>
    <t>Timber Run 1 of 2</t>
  </si>
  <si>
    <t>HOLLY TERRACE APARTMENTS REAL</t>
  </si>
  <si>
    <t>PORT ORCHARD PORTFOLIO LLC</t>
  </si>
  <si>
    <t>2021EX03208</t>
  </si>
  <si>
    <t>4601-000-023-0800</t>
  </si>
  <si>
    <t>Timber Run 2 of 2</t>
  </si>
  <si>
    <t>HIDDEN TERRACE APARTMENTS REAL</t>
  </si>
  <si>
    <t>PORT ORCHARD PORTOFOLIO LLC</t>
  </si>
  <si>
    <t>2021EX03234</t>
  </si>
  <si>
    <t>162401-4-016-2003</t>
  </si>
  <si>
    <t>Yak's Market and Apartment behind</t>
  </si>
  <si>
    <t xml:space="preserve">LEE MYUNG SOOK                      </t>
  </si>
  <si>
    <t xml:space="preserve">BREMERTON BUSINESS GROUP LLC        </t>
  </si>
  <si>
    <t>2021EX03299</t>
  </si>
  <si>
    <t xml:space="preserve">740- Recreational             </t>
  </si>
  <si>
    <t>312402-1-057-2009</t>
  </si>
  <si>
    <t>Mile Hill Gym &amp; Dance Studio</t>
  </si>
  <si>
    <t>TILSON 0808 WA LLC</t>
  </si>
  <si>
    <t>4242 MILE HILL LLC</t>
  </si>
  <si>
    <t>2021EX03463</t>
  </si>
  <si>
    <t>4053-012-005-0008</t>
  </si>
  <si>
    <t>RETAIL &amp; APT</t>
  </si>
  <si>
    <t>216 MIRACLE LLC</t>
  </si>
  <si>
    <t>UILLA OZ FUND LLC</t>
  </si>
  <si>
    <t>2021EX03464</t>
  </si>
  <si>
    <t>3972-000-010-0204</t>
  </si>
  <si>
    <t>3560 Wheaton Way - Popeye's Chicken</t>
  </si>
  <si>
    <t>BARAKHSHAN HAMID &amp; POUR FERESH</t>
  </si>
  <si>
    <t>AMBROSIA QSR CHICKEN LLC</t>
  </si>
  <si>
    <t>2021EX03469</t>
  </si>
  <si>
    <t>4575-000-038-0102</t>
  </si>
  <si>
    <t>Triplex NE 30th</t>
  </si>
  <si>
    <t>PALMER BRUCE &amp; NELSON JOCELYN</t>
  </si>
  <si>
    <t>EVERGREEN MONEYSOURCE MORTGAGE COMPA</t>
  </si>
  <si>
    <t>2021EX03472</t>
  </si>
  <si>
    <t>ROMAN REAL ESTATE HOLDINGS LLC</t>
  </si>
  <si>
    <t>2021EX03517</t>
  </si>
  <si>
    <t>8056-001-025-0005</t>
  </si>
  <si>
    <t>WW A-25 42LF</t>
  </si>
  <si>
    <t>DANIEL WILLIAM R</t>
  </si>
  <si>
    <t>FORGE TRUST CO CFBO SCOTT R ISENMAN</t>
  </si>
  <si>
    <t>2021EX03554</t>
  </si>
  <si>
    <t>262501-1-003-2001</t>
  </si>
  <si>
    <t>SFR on Hwy 303</t>
  </si>
  <si>
    <t>SULLY BRIAN &amp; LONGWELL DONNA</t>
  </si>
  <si>
    <t>MCCLENAHAN LYON &amp; JENNIFER</t>
  </si>
  <si>
    <t>2021EX03557</t>
  </si>
  <si>
    <t>ANACKER NOAH</t>
  </si>
  <si>
    <t>2021EX03717</t>
  </si>
  <si>
    <t>3976-029-014-0007</t>
  </si>
  <si>
    <t>Mediquip Services Inc.</t>
  </si>
  <si>
    <t>MANETTE VIEW LLC</t>
  </si>
  <si>
    <t>CU EVELYN</t>
  </si>
  <si>
    <t>2021EX03732</t>
  </si>
  <si>
    <t>222401-1-033-2000</t>
  </si>
  <si>
    <t>Forest Ridge Convalescent Center</t>
  </si>
  <si>
    <t>F - Forced sale</t>
  </si>
  <si>
    <t>FLT FOREST RIDGE RE LLC</t>
  </si>
  <si>
    <t>140 S MARION LLC</t>
  </si>
  <si>
    <t>2021EX03734</t>
  </si>
  <si>
    <t>3966-002-003-0009</t>
  </si>
  <si>
    <t>Bremerton Health &amp; Rehab, The Cove</t>
  </si>
  <si>
    <t>FCE BREMERTON LLC</t>
  </si>
  <si>
    <t>2701 CLARE LLC</t>
  </si>
  <si>
    <t>2021EX03764</t>
  </si>
  <si>
    <t>332401-3-002-2000</t>
  </si>
  <si>
    <t>Gorst Center &amp; Ladybug Espresso</t>
  </si>
  <si>
    <t>VICE CITY ESPRESSO LLC</t>
  </si>
  <si>
    <t>JAMIL JORDAN LLC</t>
  </si>
  <si>
    <t>2021EX03844</t>
  </si>
  <si>
    <t>222702-3-033-2002</t>
  </si>
  <si>
    <t>C-store with gas Georges Corner</t>
  </si>
  <si>
    <t>TRMC RETAIL LLC</t>
  </si>
  <si>
    <t>2021EX03878</t>
  </si>
  <si>
    <t>082501-4-068-2009</t>
  </si>
  <si>
    <t>Telka Apartments</t>
  </si>
  <si>
    <t>BFG SILVERDALE PROPCO V LLC</t>
  </si>
  <si>
    <t>KVPP CLEAR CREEK  LLC</t>
  </si>
  <si>
    <t>2021EX04036</t>
  </si>
  <si>
    <t>152601-1-071-2000</t>
  </si>
  <si>
    <t>Washington Tractor</t>
  </si>
  <si>
    <t>WT HOLDINGS II LLC</t>
  </si>
  <si>
    <t>KVICHAK LLC</t>
  </si>
  <si>
    <t>2021EX04037</t>
  </si>
  <si>
    <t>152601-1-075-2006</t>
  </si>
  <si>
    <t>Auto Building</t>
  </si>
  <si>
    <t>UGASHIK LLC</t>
  </si>
  <si>
    <t>2021EX04078</t>
  </si>
  <si>
    <t>TRUSTON THOMAS J &amp; VICTORIA L</t>
  </si>
  <si>
    <t>GROMICKO NIKOLAI BENJAMIN &amp;</t>
  </si>
  <si>
    <t>2021EX04085</t>
  </si>
  <si>
    <t>4650-015-009-0004</t>
  </si>
  <si>
    <t>SFR Downtown Pt Orchard</t>
  </si>
  <si>
    <t xml:space="preserve">PO--NMU Nbhd Mix Use          </t>
  </si>
  <si>
    <t xml:space="preserve">FFP FUND I  LLC                     </t>
  </si>
  <si>
    <t xml:space="preserve">BRYNESTAD FAMILY 14  LLC            </t>
  </si>
  <si>
    <t>2021EX04113</t>
  </si>
  <si>
    <t>3621 COLONIAL LLC</t>
  </si>
  <si>
    <t>2021EX04118</t>
  </si>
  <si>
    <t>5490-000-198-0008</t>
  </si>
  <si>
    <t>mixed use townhome</t>
  </si>
  <si>
    <t xml:space="preserve">PL--RD                        </t>
  </si>
  <si>
    <t>HUNT SYLVIA K</t>
  </si>
  <si>
    <t>CSZ PROPERTIES LLC</t>
  </si>
  <si>
    <t>2021EX04141</t>
  </si>
  <si>
    <t>8070-001-030-0000</t>
  </si>
  <si>
    <t>MURPHY CHARLES</t>
  </si>
  <si>
    <t>ZISKA LEONARD E &amp; NORRIS ELLEN</t>
  </si>
  <si>
    <t>2021EX04166</t>
  </si>
  <si>
    <t>3783-003-007-0004</t>
  </si>
  <si>
    <t>Valero CSWG</t>
  </si>
  <si>
    <t xml:space="preserve">DAVIS FAMILY LLC 904 905 907 9      </t>
  </si>
  <si>
    <t xml:space="preserve">JSN LLC                             </t>
  </si>
  <si>
    <t>2021EX04178</t>
  </si>
  <si>
    <t>3787-000-023-0006</t>
  </si>
  <si>
    <t>2 Retail buildings Kitsap Way</t>
  </si>
  <si>
    <t xml:space="preserve">THE POE STREET LLC                  </t>
  </si>
  <si>
    <t>NIKI HOLDINGS LP &amp; SAGE INVESTCO WOO</t>
  </si>
  <si>
    <t>2021EX04206</t>
  </si>
  <si>
    <t>162401-4-090-2002</t>
  </si>
  <si>
    <t>Whse on Kitsap Way</t>
  </si>
  <si>
    <t>ROTHHORN LLC</t>
  </si>
  <si>
    <t>NELSON BENJAMIN</t>
  </si>
  <si>
    <t>2021EX04225</t>
  </si>
  <si>
    <t>232601-2-236-2000</t>
  </si>
  <si>
    <t>BL on Hostmark</t>
  </si>
  <si>
    <t>CITY OF POULSBO</t>
  </si>
  <si>
    <t>VANAHEIMR LLC</t>
  </si>
  <si>
    <t>2021EX04234</t>
  </si>
  <si>
    <t>022401-1-025-2004</t>
  </si>
  <si>
    <t>Swing Set Mall &amp; Tree Top Village</t>
  </si>
  <si>
    <t>TEPEYAC LLC</t>
  </si>
  <si>
    <t>WONDERPROPERTIES LLC</t>
  </si>
  <si>
    <t>2021EX04281</t>
  </si>
  <si>
    <t>8070-002-046-0000</t>
  </si>
  <si>
    <t>DAHL DELBERT CHARLES &amp; TRUDY A</t>
  </si>
  <si>
    <t>SMITH TODD WILLIAM TRUSTEE</t>
  </si>
  <si>
    <t>2021EX04319</t>
  </si>
  <si>
    <t>172501-2-038-2009</t>
  </si>
  <si>
    <t>CLEAVER REONA M TRUSTEE</t>
  </si>
  <si>
    <t>CLEAVER RONALD D JR &amp; VALISTA E</t>
  </si>
  <si>
    <t>2021EX04353</t>
  </si>
  <si>
    <t>272502-4-088-2001</t>
  </si>
  <si>
    <t>Pegasus Coffee &amp; Acct office</t>
  </si>
  <si>
    <t xml:space="preserve">PEGASUS BUILDING LLC                </t>
  </si>
  <si>
    <t xml:space="preserve">PERSEUS131 LLC                      </t>
  </si>
  <si>
    <t>2021EX04519</t>
  </si>
  <si>
    <t>212401-1-107-2002</t>
  </si>
  <si>
    <t>Strive Physical Therapy</t>
  </si>
  <si>
    <t>N - New construction</t>
  </si>
  <si>
    <t xml:space="preserve">HEARTSONG HOLDINGS LLC              </t>
  </si>
  <si>
    <t xml:space="preserve">TERI JO LIENTZ DPT MPT ATC PLLC     </t>
  </si>
  <si>
    <t>2021EX04522</t>
  </si>
  <si>
    <t>8056-003-012-0006</t>
  </si>
  <si>
    <t>WW C-12  30LF</t>
  </si>
  <si>
    <t>SPILLINGER RALPH S &amp; JACQUES R</t>
  </si>
  <si>
    <t>FINGERSON ROBERT</t>
  </si>
  <si>
    <t>2021EX04668</t>
  </si>
  <si>
    <t>172401-1-020-2002</t>
  </si>
  <si>
    <t>SFR +gar/apt 6013 Kitsap Way</t>
  </si>
  <si>
    <t>REED JAMES L &amp; BONITA P</t>
  </si>
  <si>
    <t>WHITNEY MAXX</t>
  </si>
  <si>
    <t>2021EX04756</t>
  </si>
  <si>
    <t>3968-007-014-0003</t>
  </si>
  <si>
    <t>Park Ridge Apartments</t>
  </si>
  <si>
    <t>NAYLOR HARDY CORPORATION</t>
  </si>
  <si>
    <t>PARK RIDGE APARTMENTS LLC</t>
  </si>
  <si>
    <t>2021EX04766</t>
  </si>
  <si>
    <t>262502-3-013-2004</t>
  </si>
  <si>
    <t>SFR on Ericksen</t>
  </si>
  <si>
    <t xml:space="preserve">BURNETT HOLDINGS LLC                </t>
  </si>
  <si>
    <t xml:space="preserve">HOLSER DEREK &amp; LEAH                 </t>
  </si>
  <si>
    <t>2021EX04819</t>
  </si>
  <si>
    <t>222502-1-039-2002</t>
  </si>
  <si>
    <t>BL New Brooklyn Rd</t>
  </si>
  <si>
    <t>COULTAS-RICHARDS LINDA</t>
  </si>
  <si>
    <t>SUNRISE PROPERTIES LLC</t>
  </si>
  <si>
    <t>2021EX04891</t>
  </si>
  <si>
    <t>4459-000-001-0007</t>
  </si>
  <si>
    <t>CSWG Bucklin &amp; Silverdale Way</t>
  </si>
  <si>
    <t xml:space="preserve">RAAB &amp; RAAB PROPERTIES LLC          </t>
  </si>
  <si>
    <t xml:space="preserve">YUN UGAITAFA INC                    </t>
  </si>
  <si>
    <t>2021EX04893</t>
  </si>
  <si>
    <t xml:space="preserve">Manette Uplands-COM           </t>
  </si>
  <si>
    <t>3949-000-008-0109</t>
  </si>
  <si>
    <t>Palisades Apts formerTrenton House Apts)</t>
  </si>
  <si>
    <t>CALNAN MCDONALD ENTERPRISES</t>
  </si>
  <si>
    <t>PALISADES APARTMENTS LLC</t>
  </si>
  <si>
    <t>2021EX04899</t>
  </si>
  <si>
    <t>3769-001-003-0000</t>
  </si>
  <si>
    <t>Patio Court Apartments</t>
  </si>
  <si>
    <t>MOBILEHOLMES PROPERTIES LLC</t>
  </si>
  <si>
    <t>REI OLYMPIA LLC</t>
  </si>
  <si>
    <t>2021EX04993</t>
  </si>
  <si>
    <t>122301-2-090-2001</t>
  </si>
  <si>
    <t>Jiffy Lube @ Fred Meyer Plaza</t>
  </si>
  <si>
    <t>THOMPSON EUGENE E MANAGEMENT L</t>
  </si>
  <si>
    <t>BROADBENT BUILDING LP</t>
  </si>
  <si>
    <t>2021EX05000</t>
  </si>
  <si>
    <t>3913-007-011-0002</t>
  </si>
  <si>
    <t>Manette Health</t>
  </si>
  <si>
    <t xml:space="preserve">TV MANETTE LLC                      </t>
  </si>
  <si>
    <t xml:space="preserve">MANETTE ANTIQUES LLC                </t>
  </si>
  <si>
    <t>2021EX05033</t>
  </si>
  <si>
    <t>4649-007-004-0208</t>
  </si>
  <si>
    <t>Office/Retail space &amp; SFR</t>
  </si>
  <si>
    <t xml:space="preserve">PEARSON ROBERT J                    </t>
  </si>
  <si>
    <t xml:space="preserve">DUTOT MARIKA J                      </t>
  </si>
  <si>
    <t>2021EX05035</t>
  </si>
  <si>
    <t>4796-032-001-0002</t>
  </si>
  <si>
    <t>Auto sales/service SFR Bethel</t>
  </si>
  <si>
    <t>STRAIGHT K C</t>
  </si>
  <si>
    <t>GREGERSEN PROPERTIES LLC</t>
  </si>
  <si>
    <t>2021EX05106</t>
  </si>
  <si>
    <t>102401-1-070-2008</t>
  </si>
  <si>
    <t>2 Duplexes on Wycoff</t>
  </si>
  <si>
    <t>LIEBERTHAL DANIA</t>
  </si>
  <si>
    <t>MERCADO CHAVAWNE &amp; GRAHAM</t>
  </si>
  <si>
    <t>2021EX05225</t>
  </si>
  <si>
    <t xml:space="preserve">641- Car Wash                 </t>
  </si>
  <si>
    <t>102601-3-072-2000</t>
  </si>
  <si>
    <t>Lot 3H Car Wash</t>
  </si>
  <si>
    <t>OLHAVA GROUP 3H &amp; 3I LLC</t>
  </si>
  <si>
    <t>POULSBO HOLDINGS LLC</t>
  </si>
  <si>
    <t>2021EX05226</t>
  </si>
  <si>
    <t>102601-3-073-2009</t>
  </si>
  <si>
    <t>Lot 3I  5 spc-Starbuck, AT&amp;T,Groovy</t>
  </si>
  <si>
    <t>NORTHEND MARKETPLACE LLC</t>
  </si>
  <si>
    <t>2021EX05254</t>
  </si>
  <si>
    <t>DOLESHEK RICHARD J &amp; VIRGINIA</t>
  </si>
  <si>
    <t>PETERSON GARY &amp; SUSAN</t>
  </si>
  <si>
    <t>2021EX05318</t>
  </si>
  <si>
    <t>222502-1-038-2003</t>
  </si>
  <si>
    <t>Lot D Farm Business Park</t>
  </si>
  <si>
    <t xml:space="preserve">COULTAS FAMILY LLC                  </t>
  </si>
  <si>
    <t xml:space="preserve">BAINBRIDGE ARTISAN RESOURCE NETWORK </t>
  </si>
  <si>
    <t>2021EX05334</t>
  </si>
  <si>
    <t>4222-000-008-0006</t>
  </si>
  <si>
    <t>Retail Front &amp; Young St</t>
  </si>
  <si>
    <t xml:space="preserve">POULSBO FRONT STREET LLC            </t>
  </si>
  <si>
    <t xml:space="preserve">VELKOMINN LLC                       </t>
  </si>
  <si>
    <t>2021EX05358</t>
  </si>
  <si>
    <t>322401-4-091-2001</t>
  </si>
  <si>
    <t>Peninsula Subaru</t>
  </si>
  <si>
    <t>DIONAS ENTERPRISES LLC</t>
  </si>
  <si>
    <t>PUGET SOUND ENERGY</t>
  </si>
  <si>
    <t>2021EX05362</t>
  </si>
  <si>
    <t>3966-002-003-0108</t>
  </si>
  <si>
    <t xml:space="preserve">Vineyard Park Senior Living </t>
  </si>
  <si>
    <t>WC BREMERTON LLC</t>
  </si>
  <si>
    <t>FRONTIER EXCHANGE LANDLORD GROUP LLC</t>
  </si>
  <si>
    <t>2021EX05508</t>
  </si>
  <si>
    <t>362501-3-034-2008</t>
  </si>
  <si>
    <t>Kelly Moore Paints</t>
  </si>
  <si>
    <t>NORTH 40 RESOURCES LLC</t>
  </si>
  <si>
    <t>4942 303 LLC</t>
  </si>
  <si>
    <t>2021EX05538</t>
  </si>
  <si>
    <t>HALVERSON BRAD &amp; MELISSA</t>
  </si>
  <si>
    <t>2021EX05558</t>
  </si>
  <si>
    <t>362401-2-103-2007</t>
  </si>
  <si>
    <t>BL on Bethel</t>
  </si>
  <si>
    <t xml:space="preserve">SEASWIRL III LLC                    </t>
  </si>
  <si>
    <t xml:space="preserve">PARDUN PROPERTIES LLC               </t>
  </si>
  <si>
    <t>2021EX05613</t>
  </si>
  <si>
    <t>342401-4-008-2001</t>
  </si>
  <si>
    <t>SFR@372 Tremont</t>
  </si>
  <si>
    <t>LINDSAY &amp; LINDSAY PROPERTIES L</t>
  </si>
  <si>
    <t>BRAR GURSEWAK &amp; KAUR GURDIP</t>
  </si>
  <si>
    <t>2021EX05659</t>
  </si>
  <si>
    <t>4575-000-001-0006</t>
  </si>
  <si>
    <t>Sheridan Rd- Former Bank</t>
  </si>
  <si>
    <t>REYES EDGAR D &amp; JULIE TRUSTEES</t>
  </si>
  <si>
    <t>MISION IGLESIA EVANGELICA PENTECOSTE</t>
  </si>
  <si>
    <t>2021EX05688</t>
  </si>
  <si>
    <t>3778-002-017-0001</t>
  </si>
  <si>
    <t>Triplex on Rainier Ave</t>
  </si>
  <si>
    <t>LEE SHAWN &amp; STACEY</t>
  </si>
  <si>
    <t>SMITH MELISSA K &amp; BRANDFAS JEFFREY Q</t>
  </si>
  <si>
    <t>2021EX05743</t>
  </si>
  <si>
    <t>162501-3-122-2005</t>
  </si>
  <si>
    <t>Hanger Clinic</t>
  </si>
  <si>
    <t>MICKELBERRY PROFESSIONAL BUILD</t>
  </si>
  <si>
    <t>MARINER SQUARE SILVERCITY LLC</t>
  </si>
  <si>
    <t>2021EX05744</t>
  </si>
  <si>
    <t>4060-005-018-0107</t>
  </si>
  <si>
    <t>The Grey House</t>
  </si>
  <si>
    <t>1130 ROSEWOOD LANE LLC</t>
  </si>
  <si>
    <t>LATINAMERICA HOUSE LLC</t>
  </si>
  <si>
    <t>2021EX05800</t>
  </si>
  <si>
    <t>5392-000-018-0005</t>
  </si>
  <si>
    <t>BL Corner Vivian Ct and Lumsden Rd</t>
  </si>
  <si>
    <t>1997 PORT ORCHARD INDUSTRIAL P</t>
  </si>
  <si>
    <t>GTR TECHNOLOGIES INC</t>
  </si>
  <si>
    <t>2021EX05804</t>
  </si>
  <si>
    <t>162401-4-018-2001</t>
  </si>
  <si>
    <t>Sound Excavation, Inc.</t>
  </si>
  <si>
    <t>JTL INVESTMENTS LLC</t>
  </si>
  <si>
    <t>JOHNSON RANDALL &amp; TRACY</t>
  </si>
  <si>
    <t>2021EX05846</t>
  </si>
  <si>
    <t>3718-007-030-0006</t>
  </si>
  <si>
    <t>Mehner Bldg</t>
  </si>
  <si>
    <t xml:space="preserve">51-1060 LLC                         </t>
  </si>
  <si>
    <t xml:space="preserve">253-257 4TH ST LLC                  </t>
  </si>
  <si>
    <t>2021EX05953</t>
  </si>
  <si>
    <t>3965-000-172-0009</t>
  </si>
  <si>
    <t>BL Corner Callahan and on-ramp</t>
  </si>
  <si>
    <t>TEMPLETON ANN L &amp; ESTATE OF</t>
  </si>
  <si>
    <t>WILLOW CREEK MANOR INC</t>
  </si>
  <si>
    <t>2021EX05967</t>
  </si>
  <si>
    <t>102601-4-054-2000</t>
  </si>
  <si>
    <t>Sonic Fast Food</t>
  </si>
  <si>
    <t>SB POULSBO LLC</t>
  </si>
  <si>
    <t>TRUMP ISLAND LLC</t>
  </si>
  <si>
    <t>2021EX06014</t>
  </si>
  <si>
    <t xml:space="preserve">505- Retail condo             </t>
  </si>
  <si>
    <t xml:space="preserve">Manchester                    </t>
  </si>
  <si>
    <t>8198-002-005-0006</t>
  </si>
  <si>
    <t>Unit C5, Building B</t>
  </si>
  <si>
    <t xml:space="preserve">SADDIE FAMILY LLC                   </t>
  </si>
  <si>
    <t xml:space="preserve">DONLAN DANELLA                      </t>
  </si>
  <si>
    <t>2021EX06029</t>
  </si>
  <si>
    <t>082401-3-162-2007</t>
  </si>
  <si>
    <t>Country Squire Apartments</t>
  </si>
  <si>
    <t>COUNTRY SQUIRE LLC</t>
  </si>
  <si>
    <t>COOPER DAVID &amp; TERRY &amp; COOPER MICHAE</t>
  </si>
  <si>
    <t>2021EX06106</t>
  </si>
  <si>
    <t>012301-2-079-2009</t>
  </si>
  <si>
    <t>Mini Storage on Salmonberry</t>
  </si>
  <si>
    <t>PRAYS PROPERTIES INC</t>
  </si>
  <si>
    <t>SB STORAGE LLC</t>
  </si>
  <si>
    <t>2021EX06253</t>
  </si>
  <si>
    <t>262501-4-111-2004</t>
  </si>
  <si>
    <t>Clear Choice Cannabis</t>
  </si>
  <si>
    <t>GARDNER MICHAEL P</t>
  </si>
  <si>
    <t>ACS ENTERPRISES INC</t>
  </si>
  <si>
    <t>2021EX06264</t>
  </si>
  <si>
    <t>8070-002-034-0004</t>
  </si>
  <si>
    <t>JORDAN JONATHAN H</t>
  </si>
  <si>
    <t>BLAKELEY JOHN</t>
  </si>
  <si>
    <t>2021EX06315</t>
  </si>
  <si>
    <t>4650-015-012-0108</t>
  </si>
  <si>
    <t>Former court offices</t>
  </si>
  <si>
    <t>MULLER LYLE R &amp; WANDA J</t>
  </si>
  <si>
    <t>9242 SILVERDALE WAY CRE LLC</t>
  </si>
  <si>
    <t>2021EX06317</t>
  </si>
  <si>
    <t>012301-3-077-2009</t>
  </si>
  <si>
    <t>SFR on Bethel</t>
  </si>
  <si>
    <t>PAGE SHERYL &amp; BRUMMET JERRY HE</t>
  </si>
  <si>
    <t>WPS OZ LLC</t>
  </si>
  <si>
    <t>2021EX06329</t>
  </si>
  <si>
    <t>8070-002-003-0001</t>
  </si>
  <si>
    <t>Poulsbo Yacht Club B-3 30LF</t>
  </si>
  <si>
    <t>WINKLER DAVID &amp; CAROL</t>
  </si>
  <si>
    <t>HEINLEIN CHRISTOPHER E &amp; REYNOLDS LI</t>
  </si>
  <si>
    <t>2021EX06337</t>
  </si>
  <si>
    <t>8195-000-004-0004</t>
  </si>
  <si>
    <t>Unit 4 at 650 NW Bovela Ln</t>
  </si>
  <si>
    <t>LOOFBURROW JOHN RICHARD &amp; PAME</t>
  </si>
  <si>
    <t>SSTR PROPERTIES LLC</t>
  </si>
  <si>
    <t>2021EX06376</t>
  </si>
  <si>
    <t>4458-008-007-0005</t>
  </si>
  <si>
    <t>Heart, Wtrfrnt Bakery</t>
  </si>
  <si>
    <t>CANNONGATE DEVELOPMENT LLC</t>
  </si>
  <si>
    <t>CARR NICHOLAS</t>
  </si>
  <si>
    <t>2021EX06378</t>
  </si>
  <si>
    <t>4458-014-001-0207</t>
  </si>
  <si>
    <t>Ocean Park Bldg</t>
  </si>
  <si>
    <t>CARR NICHOLAS C</t>
  </si>
  <si>
    <t>2021EX06393</t>
  </si>
  <si>
    <t>3967-002-008-0003</t>
  </si>
  <si>
    <t>Office corner of Wheaton wy</t>
  </si>
  <si>
    <t>AFLATOONI GHODRAT &amp; LILA</t>
  </si>
  <si>
    <t>HOTTER REALTY LLC</t>
  </si>
  <si>
    <t>2021EX06416</t>
  </si>
  <si>
    <t>142601-3-135-2001</t>
  </si>
  <si>
    <t>Union 76 and Carwash Poulsbo</t>
  </si>
  <si>
    <t>MTS BAJWA ENTERPRISES LLC</t>
  </si>
  <si>
    <t>D &amp; R LLC</t>
  </si>
  <si>
    <t>2021EX06498</t>
  </si>
  <si>
    <t>8056-001-014-0008</t>
  </si>
  <si>
    <t>WW A-14 32LF</t>
  </si>
  <si>
    <t>LINDSLEY THOMAS R &amp; JUDITH L T</t>
  </si>
  <si>
    <t>JOY JOHN H &amp; KELLY F</t>
  </si>
  <si>
    <t>2021EX06504</t>
  </si>
  <si>
    <t xml:space="preserve">                              </t>
  </si>
  <si>
    <t>4274-000-028-0009</t>
  </si>
  <si>
    <t>Hansville Repair w/apt</t>
  </si>
  <si>
    <t>KEEN ROBERT S &amp; LINDA S</t>
  </si>
  <si>
    <t>OTTO STEVEN &amp; LAUREN</t>
  </si>
  <si>
    <t>2021EX06691</t>
  </si>
  <si>
    <t>052401-3-086-2003</t>
  </si>
  <si>
    <t>Mallon Invenstment</t>
  </si>
  <si>
    <t>INLET PROPERTIES LLC</t>
  </si>
  <si>
    <t>MALLON INVESTMENT COMPANY LLC</t>
  </si>
  <si>
    <t>2021EX06839</t>
  </si>
  <si>
    <t>222401-2-063-2001</t>
  </si>
  <si>
    <t>Crankshaft Coffee/DIY Auto Arsenal</t>
  </si>
  <si>
    <t xml:space="preserve">R G &amp; J LLC                         </t>
  </si>
  <si>
    <t xml:space="preserve">HASTING MIKE                        </t>
  </si>
  <si>
    <t>2021EX07074</t>
  </si>
  <si>
    <t>012401-2-137-2008</t>
  </si>
  <si>
    <t>Mieneke Auto Body</t>
  </si>
  <si>
    <t>GRAYCLOUD LLC</t>
  </si>
  <si>
    <t>DUBOIS RANDY J</t>
  </si>
  <si>
    <t>2021EX07075</t>
  </si>
  <si>
    <t xml:space="preserve">Downtown Kingston             </t>
  </si>
  <si>
    <t>4316-006-001-0007</t>
  </si>
  <si>
    <t>Retail &amp; Office, by ferry</t>
  </si>
  <si>
    <t xml:space="preserve">CO--UVC                       </t>
  </si>
  <si>
    <t>ROSS KAREN D &amp; NOWAK RICHARD V</t>
  </si>
  <si>
    <t>KINGPO PROPERTIES LLC</t>
  </si>
  <si>
    <t>2021EX07145</t>
  </si>
  <si>
    <t>8164-014-001-0005</t>
  </si>
  <si>
    <t>Sawtooth Hangar B14-1 (Bld Only)</t>
  </si>
  <si>
    <t xml:space="preserve">ENGEL JERRY V &amp; DEBORAH L           </t>
  </si>
  <si>
    <t xml:space="preserve">ANDERSON ANDREW H &amp; ROSEMARY L      </t>
  </si>
  <si>
    <t>2021EX07150</t>
  </si>
  <si>
    <t>8103-000-003-0006</t>
  </si>
  <si>
    <t>T Hangar Unit 3</t>
  </si>
  <si>
    <t>BRYANT ROBERT &amp; LYNN</t>
  </si>
  <si>
    <t>PICTURE PERFECT LLC</t>
  </si>
  <si>
    <t>2021EX07230</t>
  </si>
  <si>
    <t>142601-2-058-2006</t>
  </si>
  <si>
    <t>BL- 7th Avenue</t>
  </si>
  <si>
    <t>TVC POULSBO I CO LLC</t>
  </si>
  <si>
    <t>2021EX07300</t>
  </si>
  <si>
    <t>012301-3-055-2005</t>
  </si>
  <si>
    <t>partial sfr (nv) Sylvis &amp; Bethel</t>
  </si>
  <si>
    <t>MCCOWN MICHAEL &amp; BROCKETT MITC</t>
  </si>
  <si>
    <t>SDH PROPERTIES LLC</t>
  </si>
  <si>
    <t>2021EX07342</t>
  </si>
  <si>
    <t>102301-1-004-2000</t>
  </si>
  <si>
    <t>Future Sidney Center</t>
  </si>
  <si>
    <t>SIDNEY ROAD PROPERTY LLC</t>
  </si>
  <si>
    <t>2021EX07426</t>
  </si>
  <si>
    <t>8056-002-029-0009</t>
  </si>
  <si>
    <t>WW B-29 28LF</t>
  </si>
  <si>
    <t>SKALAK THOMAS &amp; SUSAN</t>
  </si>
  <si>
    <t>SINCLAIR LORI LEIGH &amp; DUNCAN GORDON</t>
  </si>
  <si>
    <t>2021EX07430</t>
  </si>
  <si>
    <t>3735-022-007-0102</t>
  </si>
  <si>
    <t>BL East of Safeway. Gravel</t>
  </si>
  <si>
    <t>FERNANDES GLORIA A</t>
  </si>
  <si>
    <t>DODGE LEONARD D</t>
  </si>
  <si>
    <t>2021EX07462</t>
  </si>
  <si>
    <t>022301-1-015-2007</t>
  </si>
  <si>
    <t>Printing Services, State Farm</t>
  </si>
  <si>
    <t>POTTER HOLDINGS LLC</t>
  </si>
  <si>
    <t>MERRY HOLDINGS LLC</t>
  </si>
  <si>
    <t>2021EX07610</t>
  </si>
  <si>
    <t>032601-1-025-2001</t>
  </si>
  <si>
    <t>Pinnacle Ind Park Mini-Stg</t>
  </si>
  <si>
    <t xml:space="preserve">PL--Light Industrial          </t>
  </si>
  <si>
    <t>PRYOR HOLDINGS LLC</t>
  </si>
  <si>
    <t>COPPERTOP STORAGE POULSBO LLC</t>
  </si>
  <si>
    <t>2021EX07650</t>
  </si>
  <si>
    <t>4027-012-021-0001</t>
  </si>
  <si>
    <t>Triplex</t>
  </si>
  <si>
    <t>BAYNE KENNETH</t>
  </si>
  <si>
    <t>DEVIN GENE W &amp; GLORIA</t>
  </si>
  <si>
    <t>2021EX07902</t>
  </si>
  <si>
    <t>8164-014-002-0004</t>
  </si>
  <si>
    <t>T-Hangar B14-2 (Bld Only)</t>
  </si>
  <si>
    <t>ODONNELL DOUGLAS A &amp; MICHELL P</t>
  </si>
  <si>
    <t>STEED GEORGE W III &amp; AMY M</t>
  </si>
  <si>
    <t>2021EX07905</t>
  </si>
  <si>
    <t>232601-1-071-2000</t>
  </si>
  <si>
    <t>Timberwolf Remodel by Design</t>
  </si>
  <si>
    <t>NORBUT GREGORY P &amp; MARGUERITE</t>
  </si>
  <si>
    <t>INGALLS JAMES A &amp; PATRICIA</t>
  </si>
  <si>
    <t>2021EX07973</t>
  </si>
  <si>
    <t>162501-3-128-2009</t>
  </si>
  <si>
    <t>Counseling Clinic, Auto Safe</t>
  </si>
  <si>
    <t>AL-AGBA BARBARA &amp; NELSON RUTH</t>
  </si>
  <si>
    <t>DUGGAL NARINDER &amp; SAGE &amp; SEDONA</t>
  </si>
  <si>
    <t>2021EX07981</t>
  </si>
  <si>
    <t>7001-000-002-0002</t>
  </si>
  <si>
    <t>Office- Fronts Ridgetop Blvd</t>
  </si>
  <si>
    <t>SOUND WEST CREEK VIEW LLC</t>
  </si>
  <si>
    <t>CREEK VIEW PARTNERS LLC</t>
  </si>
  <si>
    <t>2021EX08004</t>
  </si>
  <si>
    <t>292702-1-061-2004</t>
  </si>
  <si>
    <t>AMP - Lot C Kingston West I</t>
  </si>
  <si>
    <t>SLUYS LORETTA</t>
  </si>
  <si>
    <t>ROSS MARK &amp; KAREN TRUSTEES</t>
  </si>
  <si>
    <t>2021EX08147</t>
  </si>
  <si>
    <t xml:space="preserve">BAIR CHARLES E &amp; PATRICIA R &amp;       </t>
  </si>
  <si>
    <t xml:space="preserve">CUPPLES SHAWN M                     </t>
  </si>
  <si>
    <t>2021EX08148</t>
  </si>
  <si>
    <t>3734-013-001-0009</t>
  </si>
  <si>
    <t>SW of 9th &amp; Mead Parking fenced</t>
  </si>
  <si>
    <t>LAMBERT RICHARD D &amp; MEREDITH A</t>
  </si>
  <si>
    <t>CUPPLES SHAWN M</t>
  </si>
  <si>
    <t>2021EX08231</t>
  </si>
  <si>
    <t>012301-2-077-2001</t>
  </si>
  <si>
    <t>SFR Salmonberry</t>
  </si>
  <si>
    <t>EPOCH WELLNESS CENTER LLC</t>
  </si>
  <si>
    <t>2021EX08272</t>
  </si>
  <si>
    <t>4027-012-011-0102</t>
  </si>
  <si>
    <t>Triplex Perry Ave</t>
  </si>
  <si>
    <t>BLANK LORIN C &amp; TERRIE L</t>
  </si>
  <si>
    <t>NEUFELD MARK &amp; LINDA</t>
  </si>
  <si>
    <t>2021EX08374</t>
  </si>
  <si>
    <t xml:space="preserve">592- Community center         </t>
  </si>
  <si>
    <t>082401-4-070-2006</t>
  </si>
  <si>
    <t>Red Apple Spmkt, Retail, Diner</t>
  </si>
  <si>
    <t>RAY &amp; NESBY LLC</t>
  </si>
  <si>
    <t>6724 KITSAP WAY LLC</t>
  </si>
  <si>
    <t>2021EX08395</t>
  </si>
  <si>
    <t>152601-1-095-2002</t>
  </si>
  <si>
    <t>Lindvog Bldg - Sound Naturopathic</t>
  </si>
  <si>
    <t>BILOBA LLC</t>
  </si>
  <si>
    <t>2021EX08456</t>
  </si>
  <si>
    <t>362501-2-002-2008</t>
  </si>
  <si>
    <t>BL - N of storage</t>
  </si>
  <si>
    <t>ALL SECURE SELF STORAGE</t>
  </si>
  <si>
    <t>ILLAHEE FOREST PRESERVE</t>
  </si>
  <si>
    <t>2021EX08558</t>
  </si>
  <si>
    <t xml:space="preserve">E Bremerton North of Riddell  </t>
  </si>
  <si>
    <t>262501-2-033-2003</t>
  </si>
  <si>
    <t>Master Orthodontics</t>
  </si>
  <si>
    <t xml:space="preserve">PLCL LLC                            </t>
  </si>
  <si>
    <t xml:space="preserve">CABALLERO FAMILY REAL ESTATE LLC    </t>
  </si>
  <si>
    <t>2021EX08559</t>
  </si>
  <si>
    <t>342401-4-086-2006</t>
  </si>
  <si>
    <t>Lingenbrink Orthodontics</t>
  </si>
  <si>
    <t xml:space="preserve">LINGENBRINK PAUL FAMILY LLC         </t>
  </si>
  <si>
    <t>2021EX08708</t>
  </si>
  <si>
    <t>142601-1-048-2001</t>
  </si>
  <si>
    <t>Shell Total Stop Food Mart</t>
  </si>
  <si>
    <t>SALL ENTERPRISES II LLC</t>
  </si>
  <si>
    <t>SIDAK &amp; JORAWAR LLC</t>
  </si>
  <si>
    <t>2021EX08713</t>
  </si>
  <si>
    <t>5522-000-006-0002</t>
  </si>
  <si>
    <t>WESTERN PROGRESSIVE - WASHINGT</t>
  </si>
  <si>
    <t>DEUTSCHE BANK NATIONAL TRUST CO TRUS</t>
  </si>
  <si>
    <t>2021EX08757</t>
  </si>
  <si>
    <t>252401-4-046-2006</t>
  </si>
  <si>
    <t>Lucky One Smoke Shop &amp; Conv Store</t>
  </si>
  <si>
    <t>LAKE WALK 19 LLC</t>
  </si>
  <si>
    <t>DYAIM LLC</t>
  </si>
  <si>
    <t>2021EX08809</t>
  </si>
  <si>
    <t>3967-001-009-0103</t>
  </si>
  <si>
    <t>Olympic Ambulance Service</t>
  </si>
  <si>
    <t>AMBULANCE PROPERTIES LLC</t>
  </si>
  <si>
    <t>GREATER OLYMPIC PROPERTIES LLC</t>
  </si>
  <si>
    <t>2021EX08857</t>
  </si>
  <si>
    <t>3966-003-001-1403</t>
  </si>
  <si>
    <t>Kitsap Cardiology Consultants</t>
  </si>
  <si>
    <t>OLYMPIC RADIOLOGY BUILDING COM</t>
  </si>
  <si>
    <t>OAKRIDGE HOUSE INC</t>
  </si>
  <si>
    <t>2021EX09031</t>
  </si>
  <si>
    <t>022301-4-108-2009</t>
  </si>
  <si>
    <t>Bethel Center Bldg A - #1551</t>
  </si>
  <si>
    <t>PPM PROPERTIES LLC</t>
  </si>
  <si>
    <t>THAI BINH LLC</t>
  </si>
  <si>
    <t>2021EX09354</t>
  </si>
  <si>
    <t xml:space="preserve">Gunderson-COM                 </t>
  </si>
  <si>
    <t>172602-2-003-2008</t>
  </si>
  <si>
    <t>Equine Vet Hospital Lincoln Rd</t>
  </si>
  <si>
    <t>A C HILLS INVESTMENTS LLC</t>
  </si>
  <si>
    <t>GREENSMITH GROUP LLC</t>
  </si>
  <si>
    <t>2021EX09458</t>
  </si>
  <si>
    <t>3745-000-037-0100</t>
  </si>
  <si>
    <t>SFR (NV) Auto Center Way</t>
  </si>
  <si>
    <t>2021EX09459</t>
  </si>
  <si>
    <t>3745-000-037-0001</t>
  </si>
  <si>
    <t>2021EX09503</t>
  </si>
  <si>
    <t>342401-4-030-2003</t>
  </si>
  <si>
    <t>BL South Kitsap Blvd</t>
  </si>
  <si>
    <t>POTTERY AVE PROFESSIONAL BUILD</t>
  </si>
  <si>
    <t>DARVISH HOLDINGS LLC</t>
  </si>
  <si>
    <t>2021EX09504</t>
  </si>
  <si>
    <t>3799-012-039-0009</t>
  </si>
  <si>
    <t>4-Plex @ 1208 10TH Street</t>
  </si>
  <si>
    <t>GORNIK DAVOR &amp; GREEN PATTIE</t>
  </si>
  <si>
    <t>SIMON JACOB &amp; KANG HANA</t>
  </si>
  <si>
    <t>2021EX09546</t>
  </si>
  <si>
    <t>INNOVATIVE RENTALS 1 LLC</t>
  </si>
  <si>
    <t>GEO WA LLC</t>
  </si>
  <si>
    <t>2021EX09647</t>
  </si>
  <si>
    <t>MOLISKY CHARLES F &amp; EVELYN JEAN</t>
  </si>
  <si>
    <t>2021EX09694</t>
  </si>
  <si>
    <t>262502-3-062-2004</t>
  </si>
  <si>
    <t>Dana's Showhouse</t>
  </si>
  <si>
    <t xml:space="preserve">O K ROBERTS &amp; DAUGHTERS LLC         </t>
  </si>
  <si>
    <t xml:space="preserve">TASDEMIR MURAT &amp; LISA               </t>
  </si>
  <si>
    <t>2021EX09795</t>
  </si>
  <si>
    <t>162501-4-083-2000</t>
  </si>
  <si>
    <t>Office on Ridgetop State Farm&amp; Link</t>
  </si>
  <si>
    <t>HALL ROBBA LEE</t>
  </si>
  <si>
    <t>THE BAND LLC</t>
  </si>
  <si>
    <t>2021EX09825</t>
  </si>
  <si>
    <t>332401-4-039-2005</t>
  </si>
  <si>
    <t>A-1 Roofing / Chehalis Sheet Metal</t>
  </si>
  <si>
    <t xml:space="preserve">CO--RI                        </t>
  </si>
  <si>
    <t>SLATER ENTERPRISES PHASE II LL</t>
  </si>
  <si>
    <t>CENTURY COMMUNITIES OF WA LLC</t>
  </si>
  <si>
    <t>2021EX09826</t>
  </si>
  <si>
    <t>HAVER PHILIP J TRUSTEE</t>
  </si>
  <si>
    <t>BORO ENTERPRISES LLC</t>
  </si>
  <si>
    <t>2021EX09846</t>
  </si>
  <si>
    <t>262702-1-084-2000</t>
  </si>
  <si>
    <t>Columbia Bank &amp; Office space</t>
  </si>
  <si>
    <t>COLUMBIA STATE BANK</t>
  </si>
  <si>
    <t>2021EX09867</t>
  </si>
  <si>
    <t>012401-2-194-2008</t>
  </si>
  <si>
    <t>BL-Pad site Wheaton Way</t>
  </si>
  <si>
    <t xml:space="preserve">OREILLY AUTO ENTERPRISES LLC        </t>
  </si>
  <si>
    <t xml:space="preserve">CHOSEN INVESTMENTS LLC              </t>
  </si>
  <si>
    <t>2021EX09953</t>
  </si>
  <si>
    <t>152401-1-063-2002</t>
  </si>
  <si>
    <t>Rob's Quick Stop</t>
  </si>
  <si>
    <t>POWELL ROBIN B</t>
  </si>
  <si>
    <t>JIMIKIM INC</t>
  </si>
  <si>
    <t>2021EX09961</t>
  </si>
  <si>
    <t>3718-007-036-0000</t>
  </si>
  <si>
    <t>Retail on 4th</t>
  </si>
  <si>
    <t xml:space="preserve">SW BACK ON THE BLOCK LLC            </t>
  </si>
  <si>
    <t xml:space="preserve">PITT AVE DEVELOPMENT LLC            </t>
  </si>
  <si>
    <t>2021EX09962</t>
  </si>
  <si>
    <t>3727-000-015-0108</t>
  </si>
  <si>
    <t>Yummy Teriyaki Fast Food Naval Ave</t>
  </si>
  <si>
    <t>THE COFFEE OASIS INC</t>
  </si>
  <si>
    <t>NGUYEN THAI Q</t>
  </si>
  <si>
    <t>2021EX09967</t>
  </si>
  <si>
    <t>8103-000-026-0009</t>
  </si>
  <si>
    <t>Sawtooth Unit 26</t>
  </si>
  <si>
    <t xml:space="preserve">FULLER MAURICE D &amp; MARIA A          </t>
  </si>
  <si>
    <t xml:space="preserve">WILKES JACK M &amp; ELEANORA T          </t>
  </si>
  <si>
    <t>2021EX10049</t>
  </si>
  <si>
    <t>5065-000-001-0109</t>
  </si>
  <si>
    <t>Hobby Lobby</t>
  </si>
  <si>
    <t>B - Bankruptcy</t>
  </si>
  <si>
    <t>TRU 2005 RE I LLC</t>
  </si>
  <si>
    <t>AF SILVERDALE LLC</t>
  </si>
  <si>
    <t>2021EX10069</t>
  </si>
  <si>
    <t>4625-000-007-0307</t>
  </si>
  <si>
    <t>BL--Bethel Ave</t>
  </si>
  <si>
    <t>SUNSHINE DEVELOPMENT LLC</t>
  </si>
  <si>
    <t>ANDRADE PATRICIA &amp; SERGIO</t>
  </si>
  <si>
    <t>2021EX10085</t>
  </si>
  <si>
    <t>MIDAS HOME LLC</t>
  </si>
  <si>
    <t>WARD ROBERT IV</t>
  </si>
  <si>
    <t>2021EX10109</t>
  </si>
  <si>
    <t>8056-004-014-0002</t>
  </si>
  <si>
    <t>WW D-14 42LF</t>
  </si>
  <si>
    <t>CAMPBELL THOMAS A &amp; SUSAN E</t>
  </si>
  <si>
    <t>BBH2THREE LLC</t>
  </si>
  <si>
    <t>2021EX10161</t>
  </si>
  <si>
    <t>4625-000-007-0000</t>
  </si>
  <si>
    <t>BL N of Lund &amp; Bethel Intersection</t>
  </si>
  <si>
    <t>DAVISON JEFFREY A &amp; KUI CHA</t>
  </si>
  <si>
    <t>ANDRADE SERGIO &amp; PATRICIA</t>
  </si>
  <si>
    <t>2021EX10192</t>
  </si>
  <si>
    <t xml:space="preserve">559- Auto wrecking yard       </t>
  </si>
  <si>
    <t xml:space="preserve">North Poulsbo-COM             </t>
  </si>
  <si>
    <t>012601-1-010-2000</t>
  </si>
  <si>
    <t>Yank Apart Auto Wrecking</t>
  </si>
  <si>
    <t>OLYMPIC HOLDINGS LLC</t>
  </si>
  <si>
    <t>STOTTLEMEYER LLC</t>
  </si>
  <si>
    <t>2021EX10294</t>
  </si>
  <si>
    <t>352501-4-097-2001</t>
  </si>
  <si>
    <t>Wheaton Way Business Center</t>
  </si>
  <si>
    <t xml:space="preserve">NORTHWEST INVESTMENT INC            </t>
  </si>
  <si>
    <t xml:space="preserve">SILARA LLC                          </t>
  </si>
  <si>
    <t>2021EX10354</t>
  </si>
  <si>
    <t>252401-3-041-2003</t>
  </si>
  <si>
    <t>Fourplex Mitchel Ave</t>
  </si>
  <si>
    <t>KLEMM RICHARD S &amp; KELLY L</t>
  </si>
  <si>
    <t>REBH CODY &amp; LEHMAN TAYLOR LADON</t>
  </si>
  <si>
    <t>2021EX10358</t>
  </si>
  <si>
    <t>8070-005-028-0005</t>
  </si>
  <si>
    <t>PYC 70LF</t>
  </si>
  <si>
    <t>VAN BLOKLAND MICHAEL G</t>
  </si>
  <si>
    <t>YUROVSKY ANDREY &amp; TIFFANY</t>
  </si>
  <si>
    <t>2021EX10375</t>
  </si>
  <si>
    <t>152601-4-027-2009</t>
  </si>
  <si>
    <t>Warehouse/Auto Repair off Viking Ave</t>
  </si>
  <si>
    <t>5 - Sheriff Sale</t>
  </si>
  <si>
    <t>KITSAP COUNTY SHERRIFF</t>
  </si>
  <si>
    <t>JAIN FAMILY INVESTING</t>
  </si>
  <si>
    <t>2021EX10382</t>
  </si>
  <si>
    <t>152601-1-031-2009</t>
  </si>
  <si>
    <t>Poulsbo Red Apple Grocery</t>
  </si>
  <si>
    <t>MANDL HOLDINGS LLC</t>
  </si>
  <si>
    <t>UC LLC</t>
  </si>
  <si>
    <t>2021EX10438</t>
  </si>
  <si>
    <t>352501-1-130-2006</t>
  </si>
  <si>
    <t>Warehouse converted to church off Dawn Rd</t>
  </si>
  <si>
    <t>DUBOIS RANDY</t>
  </si>
  <si>
    <t>2021EX10470</t>
  </si>
  <si>
    <t>082401-4-042-2001</t>
  </si>
  <si>
    <t>SFR on Kitsap Way</t>
  </si>
  <si>
    <t xml:space="preserve">STEFNIK SHARON A                    </t>
  </si>
  <si>
    <t xml:space="preserve">MAGNESON MICHAEL M &amp; ARISA L        </t>
  </si>
  <si>
    <t>2021EX10475</t>
  </si>
  <si>
    <t>252401-4-069-2008</t>
  </si>
  <si>
    <t>EPO Self Storage</t>
  </si>
  <si>
    <t>EPO COMMERCE CENTER LLC</t>
  </si>
  <si>
    <t>EPO SELF STORAGE LLC</t>
  </si>
  <si>
    <t>2021EX10516</t>
  </si>
  <si>
    <t>132601-3-072-2007</t>
  </si>
  <si>
    <t>Poulsbo MH park</t>
  </si>
  <si>
    <t>TLC INVESTMENTS</t>
  </si>
  <si>
    <t>1800 POULSBO LLC</t>
  </si>
  <si>
    <t>2021EX10575</t>
  </si>
  <si>
    <t>3718-014-026-0008</t>
  </si>
  <si>
    <t>4th St &amp; Pacific Ave- Retail/Office</t>
  </si>
  <si>
    <t>51-1055 LLC</t>
  </si>
  <si>
    <t>SKYTOP HOLDINGS III LLC</t>
  </si>
  <si>
    <t>2021EX10642</t>
  </si>
  <si>
    <t>3967-001-017-0608</t>
  </si>
  <si>
    <t>Sage Apartments</t>
  </si>
  <si>
    <t>NARROWS VIEW PROPERTIES LLC</t>
  </si>
  <si>
    <t>R &amp; G DEVELOPMENT GROUP LLC</t>
  </si>
  <si>
    <t>2021EX10723</t>
  </si>
  <si>
    <t>102601-4-048-2009</t>
  </si>
  <si>
    <t>Lot 3M  Chipotle &amp; Vacant</t>
  </si>
  <si>
    <t>KJA POULSBO LLC</t>
  </si>
  <si>
    <t>2021EX10786</t>
  </si>
  <si>
    <t>142601-3-149-2005</t>
  </si>
  <si>
    <t>Little Ducklings Childcare/Preschool</t>
  </si>
  <si>
    <t>LAMAGNA DAL &amp; DREW SARAH</t>
  </si>
  <si>
    <t>AA WEALTH MANAGEMENT INC</t>
  </si>
  <si>
    <t>2021EX10804</t>
  </si>
  <si>
    <t>3718-016-010-0001</t>
  </si>
  <si>
    <t>Carpenters Bldg Local No. 1597</t>
  </si>
  <si>
    <t>BREMERTON INVESTMENT PROPERTY</t>
  </si>
  <si>
    <t>LUKEBPROPERTIES LLC</t>
  </si>
  <si>
    <t>2021EX10851</t>
  </si>
  <si>
    <t>272502-1-013-2007</t>
  </si>
  <si>
    <t>Pacifica Medicine &amp; Wellness</t>
  </si>
  <si>
    <t xml:space="preserve">BI--MAD                       </t>
  </si>
  <si>
    <t>MATT 19:14 LLC</t>
  </si>
  <si>
    <t>PACIFICA PROPERTIES LLC</t>
  </si>
  <si>
    <t>2021EX10881</t>
  </si>
  <si>
    <t>8070-002-029-0001</t>
  </si>
  <si>
    <t>RASMUSSEN PHILIP A &amp; CYNTHIA A</t>
  </si>
  <si>
    <t>POULSBO YACHT CLUB</t>
  </si>
  <si>
    <t>2021EX10884</t>
  </si>
  <si>
    <t>162401-4-058-2002</t>
  </si>
  <si>
    <t>Sound Glass</t>
  </si>
  <si>
    <t>RICHARD SCHEFSKY LLC</t>
  </si>
  <si>
    <t>5100 ACW LLC</t>
  </si>
  <si>
    <t>2021EX10935</t>
  </si>
  <si>
    <t>4230-001-011-0108</t>
  </si>
  <si>
    <t>Small Retail Store</t>
  </si>
  <si>
    <t xml:space="preserve">SANCHEZ MITCHELL EASTMAN &amp; CUR      </t>
  </si>
  <si>
    <t>BERTSCH LLC &amp; EASTSIDE FUNDING LLC F</t>
  </si>
  <si>
    <t>2021EX10996</t>
  </si>
  <si>
    <t>172401-1-148-2009</t>
  </si>
  <si>
    <t>Stagecoach Mobile &amp; RV Park</t>
  </si>
  <si>
    <t>STAGECOACH MOBILE &amp; RV PARK LL</t>
  </si>
  <si>
    <t>MHKITSAP LLC</t>
  </si>
  <si>
    <t>2021EX11011</t>
  </si>
  <si>
    <t>8067-000-002-0001</t>
  </si>
  <si>
    <t>Medallion Bldg Unit B Vadis</t>
  </si>
  <si>
    <t xml:space="preserve">WALTON STUART N &amp; MARY JANE         </t>
  </si>
  <si>
    <t xml:space="preserve">VADIS                               </t>
  </si>
  <si>
    <t>2021EX11045</t>
  </si>
  <si>
    <t>CLARK CONSTRUCTION INC</t>
  </si>
  <si>
    <t>FERGUSON GORDON &amp; KATHLEEN</t>
  </si>
  <si>
    <t>2021EX11054</t>
  </si>
  <si>
    <t>172501-3-085-2009</t>
  </si>
  <si>
    <t>Warehouse off Provost Rd</t>
  </si>
  <si>
    <t>LINE X SILVERDALE INC</t>
  </si>
  <si>
    <t>9623 SILVERDALE LLC</t>
  </si>
  <si>
    <t>2021EX11102</t>
  </si>
  <si>
    <t>5597-000-012-0103</t>
  </si>
  <si>
    <t>Ambrose apartments</t>
  </si>
  <si>
    <t>BAY VISTA DEVELOPMENT COMPANY</t>
  </si>
  <si>
    <t>JSP AMBROSE LLC</t>
  </si>
  <si>
    <t>2021EX11141</t>
  </si>
  <si>
    <t>3968-006-001-0000</t>
  </si>
  <si>
    <t>4-Plex @ 2598 Fir Ave</t>
  </si>
  <si>
    <t>HUSKINSON DON &amp; PAM</t>
  </si>
  <si>
    <t>SUMSKY MIKE</t>
  </si>
  <si>
    <t>2021EX11149</t>
  </si>
  <si>
    <t>032502-3-064-2009</t>
  </si>
  <si>
    <t>Warehouse on Lot A</t>
  </si>
  <si>
    <t>MAKH PROPERTIES LLC</t>
  </si>
  <si>
    <t>DAY ROAD LLC</t>
  </si>
  <si>
    <t>2021EX11185</t>
  </si>
  <si>
    <t>302402-4-197-2005</t>
  </si>
  <si>
    <t>Lyman Office Bldg</t>
  </si>
  <si>
    <t>LYMAN GERALD L &amp; NANCY D</t>
  </si>
  <si>
    <t>PARK SHORE OFFICES LLC</t>
  </si>
  <si>
    <t>2021EX11235</t>
  </si>
  <si>
    <t>3790-014-005-0004</t>
  </si>
  <si>
    <t>333 S Charleston Apartments</t>
  </si>
  <si>
    <t>CELLITTI CAPITAL LLC</t>
  </si>
  <si>
    <t>CHARLESTON AVE LLC &amp; 333 SOUTH LLC</t>
  </si>
  <si>
    <t>2021EX11245</t>
  </si>
  <si>
    <t>122401-1-129-2007</t>
  </si>
  <si>
    <t>Red Apple &amp; Strip (5 buildings)</t>
  </si>
  <si>
    <t>THAI INVESTMENTS LLC</t>
  </si>
  <si>
    <t>CHAOS COMMONS LLC</t>
  </si>
  <si>
    <t>2021EX11290</t>
  </si>
  <si>
    <t>4682-000-003-0608</t>
  </si>
  <si>
    <t>Chevron - Perry Avenue</t>
  </si>
  <si>
    <t>CHOI CHONG KUK</t>
  </si>
  <si>
    <t>BTJ PROPERTIES LLC</t>
  </si>
  <si>
    <t>2022EX00004</t>
  </si>
  <si>
    <t>142502-2-093-2003</t>
  </si>
  <si>
    <t>Bay Hay and Feed 2</t>
  </si>
  <si>
    <t xml:space="preserve">BI--NSC                       </t>
  </si>
  <si>
    <t>ROLLING BAY RENTALS LLC</t>
  </si>
  <si>
    <t>THE MILTONROSE LLC</t>
  </si>
  <si>
    <t>2022EX00005</t>
  </si>
  <si>
    <t>142502-2-092-2004</t>
  </si>
  <si>
    <t>Bay Hay and Feed 1</t>
  </si>
  <si>
    <t>2022EX00012</t>
  </si>
  <si>
    <t>132401-3-030-2000</t>
  </si>
  <si>
    <t>Duplex zoned MF</t>
  </si>
  <si>
    <t>BARNES MICHAEL GARRET</t>
  </si>
  <si>
    <t>BREMERTON CAPITAL PARTNERS LLC</t>
  </si>
  <si>
    <t>2022EX00032</t>
  </si>
  <si>
    <t>4458-008-003-0009</t>
  </si>
  <si>
    <t>Cedar Grove Bldg - Conv SFR</t>
  </si>
  <si>
    <t>JENKINS ZACHARY &amp; SALLY</t>
  </si>
  <si>
    <t>WHITE THOMAS E &amp; GINTZ CHRISTOPHER N</t>
  </si>
  <si>
    <t>2022EX00047</t>
  </si>
  <si>
    <t>362501-3-066-2009</t>
  </si>
  <si>
    <t>BL at Riddell entrance to Fred M</t>
  </si>
  <si>
    <t>SHETH ABHI &amp; ELISHA &amp; SHETH MA</t>
  </si>
  <si>
    <t>MAJ BREMERTON II LLC</t>
  </si>
  <si>
    <t>2022EX00049</t>
  </si>
  <si>
    <t>152601-4-081-2002</t>
  </si>
  <si>
    <t>Mac Donald Offices</t>
  </si>
  <si>
    <t>MACDONALD JOHN S</t>
  </si>
  <si>
    <t>PAKALA LLC</t>
  </si>
  <si>
    <t>2022EX00177</t>
  </si>
  <si>
    <t>212501-1-052-2006</t>
  </si>
  <si>
    <t>SFR at Tracyton Bch and Bucklin Hill</t>
  </si>
  <si>
    <t>GARRITY JAMES M T</t>
  </si>
  <si>
    <t>NGUYEN THAI Q &amp; NGUYEN HOAN M &amp;</t>
  </si>
  <si>
    <t>2022EX00280</t>
  </si>
  <si>
    <t>8172-006-003-0009</t>
  </si>
  <si>
    <t>Harbor Square Condo -R3</t>
  </si>
  <si>
    <t xml:space="preserve">POGO INVESTMENTS LLC                </t>
  </si>
  <si>
    <t xml:space="preserve">HAVILL LLC                          </t>
  </si>
  <si>
    <t>2022EX00286</t>
  </si>
  <si>
    <t>3734-010-034-0006</t>
  </si>
  <si>
    <t>632 N Callow Retail Storefront</t>
  </si>
  <si>
    <t>CARPENTER ROY &amp; MICKEY</t>
  </si>
  <si>
    <t>A SHANTY LLC</t>
  </si>
  <si>
    <t>2022EX00354</t>
  </si>
  <si>
    <t>172401-1-101-2004</t>
  </si>
  <si>
    <t>5 Units Kitsap Way</t>
  </si>
  <si>
    <t>PAGE CLOID ESTATE</t>
  </si>
  <si>
    <t>BACK COVE PROPERTIES LLC</t>
  </si>
  <si>
    <t>2022EX00405</t>
  </si>
  <si>
    <t>TENG WEI LAN &amp; TENG PATRICK TSO LIAN</t>
  </si>
  <si>
    <t>2022EX00413</t>
  </si>
  <si>
    <t>3732-014-009-0001</t>
  </si>
  <si>
    <t>324 Lafayette Apartments</t>
  </si>
  <si>
    <t>PETERSVILLE PROPERTIES LLC</t>
  </si>
  <si>
    <t>GATEWAY RIDGE LLC</t>
  </si>
  <si>
    <t>2022EX00419</t>
  </si>
  <si>
    <t>152401-2-116-2007</t>
  </si>
  <si>
    <t>Handy Mart &amp; SFR</t>
  </si>
  <si>
    <t xml:space="preserve">KANG DONG HYUN &amp; KIM MI YOUNG       </t>
  </si>
  <si>
    <t xml:space="preserve">MARINE REAL ESTATE LLC              </t>
  </si>
  <si>
    <t>2022EX00466</t>
  </si>
  <si>
    <t>4625-000-007-0208</t>
  </si>
  <si>
    <t>Kitsap Veterinary Hospital</t>
  </si>
  <si>
    <t>SUNSHINE HOLDINGS LLC</t>
  </si>
  <si>
    <t>SHAUNAK SUKHDEV &amp; SANTOSH</t>
  </si>
  <si>
    <t>2022EX00482</t>
  </si>
  <si>
    <t>122401-1-127-2009</t>
  </si>
  <si>
    <t>Peninsula Professional Bldg</t>
  </si>
  <si>
    <t>C&amp;P MANAGEMENT LLC</t>
  </si>
  <si>
    <t>CALLAN MATTHEW &amp; JESSICA P</t>
  </si>
  <si>
    <t>2022EX00520</t>
  </si>
  <si>
    <t>322401-4-054-2006</t>
  </si>
  <si>
    <t>Gorst Church &amp; SFR</t>
  </si>
  <si>
    <t>WATERS ROBERT P &amp; KRISTEN A</t>
  </si>
  <si>
    <t>PARKVIEW TERRACE  RENTAL PROPERTIES</t>
  </si>
  <si>
    <t>2022EX00562</t>
  </si>
  <si>
    <t>142301-1-008-2002</t>
  </si>
  <si>
    <t>Grace Bible Church</t>
  </si>
  <si>
    <t>GRACE BIBLE CHURCH</t>
  </si>
  <si>
    <t>2022EX00563</t>
  </si>
  <si>
    <t xml:space="preserve">624- Cemeteries               </t>
  </si>
  <si>
    <t>142301-1-011-2007</t>
  </si>
  <si>
    <t>Exempt Ptn Cemetery</t>
  </si>
  <si>
    <t xml:space="preserve">GRACE BIBLE CHURCH                  </t>
  </si>
  <si>
    <t xml:space="preserve">PUGET SOUND ENERGY INC              </t>
  </si>
  <si>
    <t>2022EX00627</t>
  </si>
  <si>
    <t>082501-4-066-2001</t>
  </si>
  <si>
    <t>BL on Clear Crk Rd N of Greaves</t>
  </si>
  <si>
    <t>BRG PROPERTIES LLC</t>
  </si>
  <si>
    <t>SILVERDALE DEVELOPMENT II LLC</t>
  </si>
  <si>
    <t>2022EX00652</t>
  </si>
  <si>
    <t>192501-4-066-2008</t>
  </si>
  <si>
    <t>BL on Dickey E of Ace Paving</t>
  </si>
  <si>
    <t>SAYAH INVESTMENTS LLC</t>
  </si>
  <si>
    <t>DCRW PROPERTIES LLC</t>
  </si>
  <si>
    <t>2022EX00656</t>
  </si>
  <si>
    <t>HEINLEIN CHRISTOPHER E &amp; REYNO</t>
  </si>
  <si>
    <t>LARSON GERALD R &amp; ROBERTA L</t>
  </si>
  <si>
    <t>2022EX00708</t>
  </si>
  <si>
    <t>152601-4-018-2000</t>
  </si>
  <si>
    <t>Parlor Shop Pizza Res&amp; Espresso site</t>
  </si>
  <si>
    <t>CAMPANA CHRIS L</t>
  </si>
  <si>
    <t>FREDERICKSEN INVESTMENTS LLC</t>
  </si>
  <si>
    <t>2022EX00730</t>
  </si>
  <si>
    <t>232501-4-026-2001</t>
  </si>
  <si>
    <t>SFR on Highway 303</t>
  </si>
  <si>
    <t>MTC FINANCIAL INC DBA TRUSTEE</t>
  </si>
  <si>
    <t>MCCALMAN MARK &amp; EASTSIDE FUNDING LLC</t>
  </si>
  <si>
    <t>2022EX00789</t>
  </si>
  <si>
    <t>8109-003-008-0009</t>
  </si>
  <si>
    <t>Village Home Bldg 3 Unit 8</t>
  </si>
  <si>
    <t>RULFFES JEFFREY T &amp; LEDORZE EL</t>
  </si>
  <si>
    <t>PODESLA KIM E</t>
  </si>
  <si>
    <t>2022EX00801</t>
  </si>
  <si>
    <t>4526-000-011-1309</t>
  </si>
  <si>
    <t>Office Space Kitsap Mental Health</t>
  </si>
  <si>
    <t>FIRST LUTHERAN CHURCH OF PORT</t>
  </si>
  <si>
    <t>777 PARAMOUNT STREET LLC</t>
  </si>
  <si>
    <t>2022EX00884</t>
  </si>
  <si>
    <t>AHLSTROM II KENNETH &amp; ARMSTRONG MELI</t>
  </si>
  <si>
    <t>2022EX01017</t>
  </si>
  <si>
    <t>262502-3-089-2003</t>
  </si>
  <si>
    <t>BL- steep Winslow Way</t>
  </si>
  <si>
    <t>KITSAP COUNTY TREASURER</t>
  </si>
  <si>
    <t>NOVLEX LLC</t>
  </si>
  <si>
    <t>2022EX01075</t>
  </si>
  <si>
    <t>292702-1-013-2003</t>
  </si>
  <si>
    <t>Streibel's CSWG Deli-Mart</t>
  </si>
  <si>
    <t>TRIPLE M ASSOCIATES LLP</t>
  </si>
  <si>
    <t>SPS WENATCHEE LLC</t>
  </si>
  <si>
    <t>2022EX01286</t>
  </si>
  <si>
    <t>362501-3-074-2009</t>
  </si>
  <si>
    <t>Handy Andy's and empty auto repair</t>
  </si>
  <si>
    <t>ROCHA STEPHEN W &amp; SUN AE</t>
  </si>
  <si>
    <t>THE BOM PROPERTY LLC</t>
  </si>
  <si>
    <t>2022EX01321</t>
  </si>
  <si>
    <t>3783-002-009-0004</t>
  </si>
  <si>
    <t>Adele &amp; Kitsap Way- Wendy's</t>
  </si>
  <si>
    <t>MAHAY LLC</t>
  </si>
  <si>
    <t>ADEALE LLC</t>
  </si>
  <si>
    <t>2022EX01346</t>
  </si>
  <si>
    <t>322401-1-115-2009</t>
  </si>
  <si>
    <t>Custom Granite Countertops</t>
  </si>
  <si>
    <t>WHITTINGTON DAVID</t>
  </si>
  <si>
    <t>SMYLE LLC</t>
  </si>
  <si>
    <t>2022EX01353</t>
  </si>
  <si>
    <t>202501-1-187-2005</t>
  </si>
  <si>
    <t>Orthodontics  on Bucklin Hill Rd</t>
  </si>
  <si>
    <t xml:space="preserve">ASEK MANAGEMENT LLC                 </t>
  </si>
  <si>
    <t xml:space="preserve">JL GROUP LLC                        </t>
  </si>
  <si>
    <t>2022EX01360</t>
  </si>
  <si>
    <t>3807-010-019-0007</t>
  </si>
  <si>
    <t>American Donuts</t>
  </si>
  <si>
    <t>SORIANO BROTHERS INVESTMENT CO</t>
  </si>
  <si>
    <t>KOHL ZAHRA &amp; ANDREW</t>
  </si>
  <si>
    <t>2022EX01380</t>
  </si>
  <si>
    <t>5065-000-002-0009</t>
  </si>
  <si>
    <t>Future Aqua Quip and Vacant Unit B</t>
  </si>
  <si>
    <t>STONE-WALL PROPERTIES INC</t>
  </si>
  <si>
    <t>AF SILVERDALE 2 LLC</t>
  </si>
  <si>
    <t>2022EX01393</t>
  </si>
  <si>
    <t>022301-4-074-2009</t>
  </si>
  <si>
    <t>ABC Supply Inc.</t>
  </si>
  <si>
    <t>STEPHEN LLOYD PROPERTIES LLC</t>
  </si>
  <si>
    <t>PORT ORCHARD 1501 LLC</t>
  </si>
  <si>
    <t>2022EX01411</t>
  </si>
  <si>
    <t>8067-000-004-0009</t>
  </si>
  <si>
    <t>Medallion Bldg Unit D Mallioli Pizza</t>
  </si>
  <si>
    <t>WINDY POINT PROPERTIES LLC</t>
  </si>
  <si>
    <t>DEMERS PROPERTY MANAGEMENT LLC</t>
  </si>
  <si>
    <t>2022EX01442</t>
  </si>
  <si>
    <t xml:space="preserve">Ridgetop                      </t>
  </si>
  <si>
    <t>5106-000-001-0001</t>
  </si>
  <si>
    <t>The Ridge Memory Care</t>
  </si>
  <si>
    <t>WASHINGTON LESSOR SILVERDALE L</t>
  </si>
  <si>
    <t>MC REAL CO THE RIDGE LLC</t>
  </si>
  <si>
    <t>2022EX01481</t>
  </si>
  <si>
    <t>4390-003-014-0107</t>
  </si>
  <si>
    <t>Dockside Grill &amp; 3 apartments</t>
  </si>
  <si>
    <t xml:space="preserve">CO--SVR                       </t>
  </si>
  <si>
    <t>SIGNATURE LAND MANAGEMENT INC</t>
  </si>
  <si>
    <t>GFB LAND MANAGEMENT LLC</t>
  </si>
  <si>
    <t>2022EX01602</t>
  </si>
  <si>
    <t>8151-000-101-0008</t>
  </si>
  <si>
    <t>Meridian Unit 101 Retail</t>
  </si>
  <si>
    <t xml:space="preserve">BRANDON BUILDINGS INC               </t>
  </si>
  <si>
    <t xml:space="preserve">BIG RED LLC                         </t>
  </si>
  <si>
    <t>2022EX01667</t>
  </si>
  <si>
    <t xml:space="preserve">BERTSCH LLC                         </t>
  </si>
  <si>
    <t xml:space="preserve">OGILVIE PAUL &amp; SUSAN                </t>
  </si>
  <si>
    <t>2022EX01753</t>
  </si>
  <si>
    <t xml:space="preserve">501- Apartment condo          </t>
  </si>
  <si>
    <t>8521-000-001-0002</t>
  </si>
  <si>
    <t>Unit 1 - SFR used as office</t>
  </si>
  <si>
    <t>NAAT NAA LLC</t>
  </si>
  <si>
    <t>CLEAR CREEK RE HOLDINGS LLC</t>
  </si>
  <si>
    <t>2022EX01857</t>
  </si>
  <si>
    <t>3731-001-007-0001</t>
  </si>
  <si>
    <t>Triplex Elizabeth Ave</t>
  </si>
  <si>
    <t>HILL PAUL T &amp; KASCELYN A</t>
  </si>
  <si>
    <t>DAWSON KALEB</t>
  </si>
  <si>
    <t>2022EX01900</t>
  </si>
  <si>
    <t xml:space="preserve">680- Educational services     </t>
  </si>
  <si>
    <t>3975-000-027-0004</t>
  </si>
  <si>
    <t>Catalyst Pub Sch/ Discovery Felwshp</t>
  </si>
  <si>
    <t>DISCOVERY FELLOWSHIP</t>
  </si>
  <si>
    <t>CATALYST PUBLIC SCHOOLS</t>
  </si>
  <si>
    <t>2022EX02034</t>
  </si>
  <si>
    <t>172501-4-041-2000</t>
  </si>
  <si>
    <t>Walgreens in Silverdale</t>
  </si>
  <si>
    <t>WALGREEN CO</t>
  </si>
  <si>
    <t>DS SILVERDALE WA LANDLORD LLC</t>
  </si>
  <si>
    <t>2022EX02098</t>
  </si>
  <si>
    <t>3743-001-001-0003</t>
  </si>
  <si>
    <t>Starbucks, bank &amp; office space</t>
  </si>
  <si>
    <t>ERETZ BREMERTON LLC</t>
  </si>
  <si>
    <t>2022EX02185</t>
  </si>
  <si>
    <t>322402-2-013-2009</t>
  </si>
  <si>
    <t>Apt, and garage/strg Mile Hill</t>
  </si>
  <si>
    <t>FUCHS JOHN R</t>
  </si>
  <si>
    <t>BRAY DAVID S JR &amp; DIANA M</t>
  </si>
  <si>
    <t>2022EX02213</t>
  </si>
  <si>
    <t>142501-3-010-2002</t>
  </si>
  <si>
    <t>Community Hall (Fully Taxable)</t>
  </si>
  <si>
    <t>PERKEREWICZ DEANNE TRUSTEE &amp;</t>
  </si>
  <si>
    <t>BELL JARON I &amp; BRITTNEY S</t>
  </si>
  <si>
    <t>2022EX02237</t>
  </si>
  <si>
    <t>4059-009-013-0008</t>
  </si>
  <si>
    <t>The law offices</t>
  </si>
  <si>
    <t xml:space="preserve">WECKER DAVID &amp; ELAINE               </t>
  </si>
  <si>
    <t xml:space="preserve">M&amp;N COLLINS LLC                     </t>
  </si>
  <si>
    <t>2022EX02276</t>
  </si>
  <si>
    <t>262502-2-084-2000</t>
  </si>
  <si>
    <t>Former Bankand office</t>
  </si>
  <si>
    <t xml:space="preserve">BI--HS-1                      </t>
  </si>
  <si>
    <t>URG HILDEBRAND PROPERTY LLC</t>
  </si>
  <si>
    <t>2022EX02316</t>
  </si>
  <si>
    <t>152401-4-023-2005</t>
  </si>
  <si>
    <t>The Arbor at Bremerton</t>
  </si>
  <si>
    <t>BREMERTON MC PROPERTIES LLC</t>
  </si>
  <si>
    <t>BREMERTON SCC LLC</t>
  </si>
  <si>
    <t>2022EX02348</t>
  </si>
  <si>
    <t>262502-2-090-2002</t>
  </si>
  <si>
    <t>Paws &amp; Fins/Strip Retail/ATM</t>
  </si>
  <si>
    <t xml:space="preserve">URG HILDEBRAND PROPERTY LLC         </t>
  </si>
  <si>
    <t xml:space="preserve">ISLAND VILLAGE REGENCY LLC          </t>
  </si>
  <si>
    <t>2022EX02372</t>
  </si>
  <si>
    <t>222401-4-092-2002</t>
  </si>
  <si>
    <t>Cliff's Cycle Center</t>
  </si>
  <si>
    <t>SCHOENING BRYAN W TRUSTEE</t>
  </si>
  <si>
    <t>MKB HOLDINGS LLC</t>
  </si>
  <si>
    <t>2022EX02398</t>
  </si>
  <si>
    <t>3735-022-012-0006</t>
  </si>
  <si>
    <t>BL NW Corner of 9th and Callow</t>
  </si>
  <si>
    <t>ELYSEE CHOCOLATES LLC</t>
  </si>
  <si>
    <t>PNW MANAGEMENT LLC</t>
  </si>
  <si>
    <t>2022EX02403</t>
  </si>
  <si>
    <t xml:space="preserve">160- Hotels and motels        </t>
  </si>
  <si>
    <t>112401-1-028-2000</t>
  </si>
  <si>
    <t>Midway Motel</t>
  </si>
  <si>
    <t>MIN &amp; JUNGS BROTHERS INC</t>
  </si>
  <si>
    <t>A&amp;H GROUP LLC</t>
  </si>
  <si>
    <t>2022EX02653</t>
  </si>
  <si>
    <t>3718-008-001-0009</t>
  </si>
  <si>
    <t>Bremerton Trust and Savings building</t>
  </si>
  <si>
    <t>ANDERSON ERIC L &amp; SANDRA</t>
  </si>
  <si>
    <t>YI SUNG-JAE &amp; SUKYUNG</t>
  </si>
  <si>
    <t>2022EX02658</t>
  </si>
  <si>
    <t>162501-3-074-2003</t>
  </si>
  <si>
    <t>Apt &amp; Retail strip</t>
  </si>
  <si>
    <t>KITSAP COUNTY</t>
  </si>
  <si>
    <t>POPLARS LLC</t>
  </si>
  <si>
    <t>2022EX02765</t>
  </si>
  <si>
    <t xml:space="preserve">470- Communications           </t>
  </si>
  <si>
    <t>352701-3-015-2109</t>
  </si>
  <si>
    <t>Cell Site</t>
  </si>
  <si>
    <t>MILLICAN MICHAEL D</t>
  </si>
  <si>
    <t>TPA V LLC</t>
  </si>
  <si>
    <t>2022EX02870</t>
  </si>
  <si>
    <t>162501-3-146-2007</t>
  </si>
  <si>
    <t>Rivulet Apartments</t>
  </si>
  <si>
    <t>SW BLAINE APARTMENTS LLC</t>
  </si>
  <si>
    <t>SERGEYEVA MARINA</t>
  </si>
  <si>
    <t>2022EX02871</t>
  </si>
  <si>
    <t>3806-004-022-0006</t>
  </si>
  <si>
    <t>Triplex on Wycoff</t>
  </si>
  <si>
    <t>PRIGGER WILLIAM &amp; BEVERLY</t>
  </si>
  <si>
    <t>ADRIAN JUSTIN &amp; HILLARY</t>
  </si>
  <si>
    <t>2022EX02928</t>
  </si>
  <si>
    <t>202401-1-038-2007</t>
  </si>
  <si>
    <t>BL Werner Rd</t>
  </si>
  <si>
    <t>LOCKHART JOSEPH T</t>
  </si>
  <si>
    <t>9005 WERNER ROAD LLC</t>
  </si>
  <si>
    <t>2022EX02967</t>
  </si>
  <si>
    <t>232601-2-168-2002</t>
  </si>
  <si>
    <t>BL- Jensen</t>
  </si>
  <si>
    <t>POULSBO LLC</t>
  </si>
  <si>
    <t>JOHNSON AND HOLMES 3 LLC</t>
  </si>
  <si>
    <t>2022EX03003</t>
  </si>
  <si>
    <t>352501-4-027-2006</t>
  </si>
  <si>
    <t>SFR fronting Hwy 303</t>
  </si>
  <si>
    <t xml:space="preserve">WITTE ALLEEN C                      </t>
  </si>
  <si>
    <t xml:space="preserve">WITTE ALLEEN C &amp; WITTE STEVEN       </t>
  </si>
  <si>
    <t>2022EX03084</t>
  </si>
  <si>
    <t>092501-3-036-2009</t>
  </si>
  <si>
    <t>BL Clear Creek Rd</t>
  </si>
  <si>
    <t>WARNER GARY C &amp; KENDRA LYNN</t>
  </si>
  <si>
    <t>FISHER JAMES</t>
  </si>
  <si>
    <t>2022EX03110</t>
  </si>
  <si>
    <t>3787-000-016-0401</t>
  </si>
  <si>
    <t>Bremerton Professional Building</t>
  </si>
  <si>
    <t xml:space="preserve">TANGODOE INVESTMENT PROPERTIES      </t>
  </si>
  <si>
    <t xml:space="preserve">YU &amp; SON PROPERTY LLC               </t>
  </si>
  <si>
    <t>2022EX03124</t>
  </si>
  <si>
    <t>3752-003-036-0006</t>
  </si>
  <si>
    <t>2142 6th St. - Six 18 Auto Repair</t>
  </si>
  <si>
    <t xml:space="preserve">RINGNESS LLC                        </t>
  </si>
  <si>
    <t xml:space="preserve">TN SIMPLY LIVING LLC                </t>
  </si>
  <si>
    <t>2022EX03160</t>
  </si>
  <si>
    <t>8070-001-016-0008</t>
  </si>
  <si>
    <t>Poulsbo Yacht Club 48lf covered</t>
  </si>
  <si>
    <t>MUIR DARREN R &amp; LEE ANNA</t>
  </si>
  <si>
    <t>2022EX03167</t>
  </si>
  <si>
    <t>CULP MATT &amp; VICKI</t>
  </si>
  <si>
    <t>2022EX03190</t>
  </si>
  <si>
    <t>8070-001-014-0000</t>
  </si>
  <si>
    <t>Poulsbo Yacht Club 48lf covered A14</t>
  </si>
  <si>
    <t>MUIR DARREN R &amp; LEE A</t>
  </si>
  <si>
    <t>WEBSTER THOMAS E</t>
  </si>
  <si>
    <t>2022EX03265</t>
  </si>
  <si>
    <t>4600-002-021-0106</t>
  </si>
  <si>
    <t>C&amp;C SUPER SAVER</t>
  </si>
  <si>
    <t xml:space="preserve">CAL AND CHI INVESTMENTS LLC         </t>
  </si>
  <si>
    <t xml:space="preserve">LHK LLC                             </t>
  </si>
  <si>
    <t>2022EX03292</t>
  </si>
  <si>
    <t xml:space="preserve">950- Forest land (partial)    </t>
  </si>
  <si>
    <t>062602-3-032-2004</t>
  </si>
  <si>
    <t>Arness Tree Farm - DFL</t>
  </si>
  <si>
    <t>9 - Timber</t>
  </si>
  <si>
    <t>ARNESS TREE FARMS INC</t>
  </si>
  <si>
    <t>ARNESS SUZANNE T</t>
  </si>
  <si>
    <t>2022EX03298</t>
  </si>
  <si>
    <t>352501-1-112-2008</t>
  </si>
  <si>
    <t>Restaurant RNJ Meats</t>
  </si>
  <si>
    <t>JACARANDA INVESTMENTS LLC</t>
  </si>
  <si>
    <t>KAUR SUKHWINDER</t>
  </si>
  <si>
    <t>2022EX03405</t>
  </si>
  <si>
    <t>3807-009-005-0104</t>
  </si>
  <si>
    <t>Auto Zone - 6th Bremerton</t>
  </si>
  <si>
    <t>OLSON JERRY W &amp; SUSAN</t>
  </si>
  <si>
    <t>PREP LLC</t>
  </si>
  <si>
    <t>2022EX03532</t>
  </si>
  <si>
    <t>212401-1-131-2002</t>
  </si>
  <si>
    <t>West Hills Retail Center</t>
  </si>
  <si>
    <t xml:space="preserve">WEST HILLS RETAIL CENTER LLC        </t>
  </si>
  <si>
    <t xml:space="preserve">PUGET SOUND ENERGY                  </t>
  </si>
  <si>
    <t>2022EX03557</t>
  </si>
  <si>
    <t>4053-014-004-0005</t>
  </si>
  <si>
    <t>BAYVIEW BLDG</t>
  </si>
  <si>
    <t>CURRIER DAVID MARK</t>
  </si>
  <si>
    <t>HOPKINS HOLDINGS LLC</t>
  </si>
  <si>
    <t>2022EX03593</t>
  </si>
  <si>
    <t>4366-009-028-0009</t>
  </si>
  <si>
    <t>Lanco Building</t>
  </si>
  <si>
    <t xml:space="preserve">CO--KVC                       </t>
  </si>
  <si>
    <t>LANCO INTERNATIONAL LLC</t>
  </si>
  <si>
    <t>TRUHLER BRANDON L &amp; TARA K</t>
  </si>
  <si>
    <t>2022EX03612</t>
  </si>
  <si>
    <t>172501-3-042-2001</t>
  </si>
  <si>
    <t>CSWG Old Frontier Rd</t>
  </si>
  <si>
    <t xml:space="preserve">GTY PACIFIC LEASING LLC             </t>
  </si>
  <si>
    <t>2022EX03670</t>
  </si>
  <si>
    <t>222301-2-009-1001</t>
  </si>
  <si>
    <t>Westsound Auction Whse on Hwy 3</t>
  </si>
  <si>
    <t>VIKING FENCE OF POULSBO LLC</t>
  </si>
  <si>
    <t>SNICKLEFRITZ LLC</t>
  </si>
  <si>
    <t>2022EX03707</t>
  </si>
  <si>
    <t>062602-2-063-2008</t>
  </si>
  <si>
    <t>Tri-Shape between Bond &amp; Stottlemeyer</t>
  </si>
  <si>
    <t>SCHWARZ BRET</t>
  </si>
  <si>
    <t>2022EX03779</t>
  </si>
  <si>
    <t>132401-3-004-2002</t>
  </si>
  <si>
    <t>Seaview &amp; Seacrest Apts</t>
  </si>
  <si>
    <t>JACOBS ROBERT CRAIG JR</t>
  </si>
  <si>
    <t>BREMERTON QUALIFIED OPPORTUNITY FUND</t>
  </si>
  <si>
    <t>2022EX03947</t>
  </si>
  <si>
    <t>8067-000-003-0000</t>
  </si>
  <si>
    <t>Medallion Bldg Unit C Learning Tree</t>
  </si>
  <si>
    <t xml:space="preserve">WALTON DEARE LLC                    </t>
  </si>
  <si>
    <t xml:space="preserve">HOSKING ANGELA                      </t>
  </si>
  <si>
    <t>2022EX03980</t>
  </si>
  <si>
    <t>212501-1-055-2003</t>
  </si>
  <si>
    <t>Bucklin Hill RC zoning ConvSFR</t>
  </si>
  <si>
    <t>LOVELY BART K</t>
  </si>
  <si>
    <t>SOL TUH PROPERTY LLC</t>
  </si>
  <si>
    <t>2022EX03981</t>
  </si>
  <si>
    <t>262501-4-118-2007</t>
  </si>
  <si>
    <t>Meineke</t>
  </si>
  <si>
    <t>REALTY INCOME CORPORATION</t>
  </si>
  <si>
    <t>BUDDY BEAR AUTON SERVICES LLC</t>
  </si>
  <si>
    <t>2022EX04013</t>
  </si>
  <si>
    <t>4027-012-023-0009</t>
  </si>
  <si>
    <t>Fourplex Farragut Ave</t>
  </si>
  <si>
    <t>LEROY HOLDINGS LLC</t>
  </si>
  <si>
    <t>DEVIN GLORIA &amp; GENE W</t>
  </si>
  <si>
    <t>2022EX04025</t>
  </si>
  <si>
    <t>8103-000-013-0004</t>
  </si>
  <si>
    <t>T-Hangar Unit 13</t>
  </si>
  <si>
    <t>LEHMAN DAVID GEORGE TRUSTEE</t>
  </si>
  <si>
    <t>CAREY BRAD &amp; LESLIE</t>
  </si>
  <si>
    <t>2022EX04059</t>
  </si>
  <si>
    <t>252401-2-013-2009</t>
  </si>
  <si>
    <t>Harbor Speech/ Black ball</t>
  </si>
  <si>
    <t>1230 BAY ST LLC</t>
  </si>
  <si>
    <t>BLACKJACK BUILDING LLC</t>
  </si>
  <si>
    <t>2022EX04063</t>
  </si>
  <si>
    <t>DONAVAN HOLDINGS LLC</t>
  </si>
  <si>
    <t>2022EX04104</t>
  </si>
  <si>
    <t>022301-1-074-2005</t>
  </si>
  <si>
    <t>Lot C &amp; Drainage System-Shop</t>
  </si>
  <si>
    <t>KIYO LLC</t>
  </si>
  <si>
    <t>COLBY AVE I LLC</t>
  </si>
  <si>
    <t>2022EX04105</t>
  </si>
  <si>
    <t>022301-1-073-2006</t>
  </si>
  <si>
    <t>Tremont Place Lot B Retail Strips</t>
  </si>
  <si>
    <t>2022EX04201</t>
  </si>
  <si>
    <t>8056-002-008-0004</t>
  </si>
  <si>
    <t>WW B-08 36LF</t>
  </si>
  <si>
    <t>THOMPSON GALE E &amp; KATHY L</t>
  </si>
  <si>
    <t>THOMPSON DANA R ANDRESON &amp; JOSEPH E</t>
  </si>
  <si>
    <t>2022EX04270</t>
  </si>
  <si>
    <t>8056-001-027-0003</t>
  </si>
  <si>
    <t>WW A-27 42LF</t>
  </si>
  <si>
    <t>SPAHI NADIM</t>
  </si>
  <si>
    <t>I/O MARKETING LLC</t>
  </si>
  <si>
    <t>2022EX04272</t>
  </si>
  <si>
    <t>WAGEMANS GREG &amp; LAUREN</t>
  </si>
  <si>
    <t>2022EX04319</t>
  </si>
  <si>
    <t>152601-1-091-2006</t>
  </si>
  <si>
    <t>Liberty Bay Preschool</t>
  </si>
  <si>
    <t>OLMSTEAD THOMAS S &amp; BARBARA E</t>
  </si>
  <si>
    <t>VOLK CHRISTIAN P</t>
  </si>
  <si>
    <t>2022EX04406</t>
  </si>
  <si>
    <t>4458-006-001-0005</t>
  </si>
  <si>
    <t>Silverdale Library</t>
  </si>
  <si>
    <t>KITSAP COUNTY RURAL LIBRARY DI</t>
  </si>
  <si>
    <t>2022EX04480</t>
  </si>
  <si>
    <t>072402-3-008-2005</t>
  </si>
  <si>
    <t>2 Fourplex's on Center St.</t>
  </si>
  <si>
    <t>DYNAMIS PROPERTIES LLC</t>
  </si>
  <si>
    <t>KURTZMAN NICHOLAS &amp; SHANKAR NIKHIL</t>
  </si>
  <si>
    <t>2022EX04565</t>
  </si>
  <si>
    <t>232601-2-135-2002</t>
  </si>
  <si>
    <t>SFR on 8th Ave</t>
  </si>
  <si>
    <t xml:space="preserve">GOVIER CHARLES F &amp; DEBORAH O        </t>
  </si>
  <si>
    <t xml:space="preserve">YOUNG MEI                           </t>
  </si>
  <si>
    <t>2022EX04653</t>
  </si>
  <si>
    <t>BROOKS JOHN E SR TRUSTEE</t>
  </si>
  <si>
    <t>2022EX04663</t>
  </si>
  <si>
    <t>3778-005-001-0002</t>
  </si>
  <si>
    <t>Sprout &amp; Thistle</t>
  </si>
  <si>
    <t xml:space="preserve">FRICK N FRACK HOLDINGS LLC          </t>
  </si>
  <si>
    <t xml:space="preserve">UNION HILL VENTURES LLC             </t>
  </si>
  <si>
    <t>2022EX04880</t>
  </si>
  <si>
    <t>4027-003-001-0004</t>
  </si>
  <si>
    <t>Blue Goose Tavern</t>
  </si>
  <si>
    <t>GEISLER REAL ESTATE HOLDINGS L</t>
  </si>
  <si>
    <t>RESOURCE RESERVES LLC</t>
  </si>
  <si>
    <t>2022EX04908</t>
  </si>
  <si>
    <t>232501-4-024-2003</t>
  </si>
  <si>
    <t>BL- Highway 303</t>
  </si>
  <si>
    <t xml:space="preserve">JUDKINS BRIAN H TRUSTEES            </t>
  </si>
  <si>
    <t xml:space="preserve">KITSAP STORAGE LLC                  </t>
  </si>
  <si>
    <t>2022EX04919</t>
  </si>
  <si>
    <t>8180-000-111-0001</t>
  </si>
  <si>
    <t>Seabreeze Bldg C-1, #111</t>
  </si>
  <si>
    <t>SEABREEZE PROPERTIES LLC</t>
  </si>
  <si>
    <t>MARLINSPIKE LLC</t>
  </si>
  <si>
    <t>2022EX05004</t>
  </si>
  <si>
    <t>022401-1-003-2000</t>
  </si>
  <si>
    <t>Chiropractic Lifestyle Center</t>
  </si>
  <si>
    <t>SIMANS NORTHWEST LLC</t>
  </si>
  <si>
    <t>CHIROPRACTIC LIFESTYLE CENTER LLC</t>
  </si>
  <si>
    <t>2022EX05141</t>
  </si>
  <si>
    <t>292702-1-058-2009</t>
  </si>
  <si>
    <t>Minder Enterprises</t>
  </si>
  <si>
    <t>LEEWARD INDUSTRIES INC</t>
  </si>
  <si>
    <t>HANSON GERALD L &amp; MATADLANG JANETTE</t>
  </si>
  <si>
    <t>2022EX05149</t>
  </si>
  <si>
    <t>022401-1-069-2001</t>
  </si>
  <si>
    <t>Kitsap Applied Technologies</t>
  </si>
  <si>
    <t>KITSAP APPLIED TECHNOLOGIES</t>
  </si>
  <si>
    <t>STSM LLC</t>
  </si>
  <si>
    <t>2022EX05293</t>
  </si>
  <si>
    <t>192501-1-006-2007</t>
  </si>
  <si>
    <t>BL on Dickey Rd.</t>
  </si>
  <si>
    <t>HARRIS BYRON D &amp; JEANNIE E</t>
  </si>
  <si>
    <t>JOHNSON AND HOLMES 4 LLC &amp; SEQUIOA S</t>
  </si>
  <si>
    <t>2022EX05332</t>
  </si>
  <si>
    <t>8217-003-140-0007</t>
  </si>
  <si>
    <t>Flying Goat Unit C140</t>
  </si>
  <si>
    <t>VECCHIATO JACOPO &amp; ZAPATA MARI</t>
  </si>
  <si>
    <t>2022EX05346</t>
  </si>
  <si>
    <t>3962-000-011-0007</t>
  </si>
  <si>
    <t>Canyon Park Apartments</t>
  </si>
  <si>
    <t>IMPERIAL PROPERTIES LLC</t>
  </si>
  <si>
    <t>CANYON PARK 50 LLC</t>
  </si>
  <si>
    <t>2022EX05379</t>
  </si>
  <si>
    <t>3967-006-001-0100</t>
  </si>
  <si>
    <t>Olympic Professional Bldg</t>
  </si>
  <si>
    <t>PANVIEW LLC</t>
  </si>
  <si>
    <t>BABY BREMERTON LLC</t>
  </si>
  <si>
    <t>2022EX05418</t>
  </si>
  <si>
    <t>4053-013-007-0004</t>
  </si>
  <si>
    <t>3 retail units &amp; 3 apts</t>
  </si>
  <si>
    <t xml:space="preserve">SINCLAIR PROPERTIES LLC             </t>
  </si>
  <si>
    <t xml:space="preserve">PETERSON ERIC                       </t>
  </si>
  <si>
    <t>2022EX05521</t>
  </si>
  <si>
    <t>3718-005-031-0009</t>
  </si>
  <si>
    <t>SFR adjacent to Norm Dicks Bld</t>
  </si>
  <si>
    <t>CLAYPOOL-BEMAN BEVERLY</t>
  </si>
  <si>
    <t>LONG WEIHAO</t>
  </si>
  <si>
    <t>2022EX05555</t>
  </si>
  <si>
    <t>8177-011-011-0004</t>
  </si>
  <si>
    <t>Vineyard Lane - Unit K</t>
  </si>
  <si>
    <t>VINEYARD LANE HOLDINGS LLC</t>
  </si>
  <si>
    <t>VINEYARD VENTURES LP</t>
  </si>
  <si>
    <t>2022EX05578</t>
  </si>
  <si>
    <t>3732-003-014-0007</t>
  </si>
  <si>
    <t>Cambrian Apartments</t>
  </si>
  <si>
    <t>CARTER KAREN I TRUSTEE</t>
  </si>
  <si>
    <t>DOUBLE A JACK LLC</t>
  </si>
  <si>
    <t>2022EX05599</t>
  </si>
  <si>
    <t>SSTG INC</t>
  </si>
  <si>
    <t>2022EX05603</t>
  </si>
  <si>
    <t>012401-2-144-2009</t>
  </si>
  <si>
    <t>Wheaton Way Veterinarian Clinic</t>
  </si>
  <si>
    <t>WHEATON WAY VETERINARY REAL ES</t>
  </si>
  <si>
    <t>PROVETS PLLC</t>
  </si>
  <si>
    <t>2022EX05613</t>
  </si>
  <si>
    <t>BDK REAL ESTATE HOLDINGS LLC</t>
  </si>
  <si>
    <t>2022EX05616</t>
  </si>
  <si>
    <t>3724-000-009-0000</t>
  </si>
  <si>
    <t>Office fronting 6th &amp; SFR</t>
  </si>
  <si>
    <t>ARKO PROPERTIES LLC &amp; SEIGLER</t>
  </si>
  <si>
    <t>MUNLEY BRIAN J &amp; SADIGH ALEXANDER D</t>
  </si>
  <si>
    <t>2022EX05642</t>
  </si>
  <si>
    <t>3949-000-004-1200</t>
  </si>
  <si>
    <t>3 SFRs Trenton Ave</t>
  </si>
  <si>
    <t>GOLDADER SALLY E &amp; THOMAS G ES</t>
  </si>
  <si>
    <t>S &amp; S INVESTMENT HOLDINGS LLC</t>
  </si>
  <si>
    <t>2022EX05656</t>
  </si>
  <si>
    <t>262301-1-013-2001</t>
  </si>
  <si>
    <t>Scale House and Mineral Land</t>
  </si>
  <si>
    <t xml:space="preserve">MILES SAND &amp; GRAVEL COMPANY         </t>
  </si>
  <si>
    <t>2022EX05663</t>
  </si>
  <si>
    <t>8141-012-006-0002</t>
  </si>
  <si>
    <t>T-Hangar B12-6</t>
  </si>
  <si>
    <t>GOODE RANDI  &amp; DAVID</t>
  </si>
  <si>
    <t>2022EX05745</t>
  </si>
  <si>
    <t>102601-2-039-2004</t>
  </si>
  <si>
    <t>Lot 4A Petco</t>
  </si>
  <si>
    <t>COLONY WHARF PROPERTIES WA LLC</t>
  </si>
  <si>
    <t>MAJ PLACE HD LLC &amp; MAJ WOODSTOCK LLC</t>
  </si>
  <si>
    <t>2022EX05790</t>
  </si>
  <si>
    <t>222502-1-040-2009</t>
  </si>
  <si>
    <t>COULTAS ALEC M</t>
  </si>
  <si>
    <t>JOHNSON DAVID &amp; SHONSEY ELIZABETH</t>
  </si>
  <si>
    <t>2022EX05804</t>
  </si>
  <si>
    <t>162501-3-072-2005</t>
  </si>
  <si>
    <t>Quality Inn Suites</t>
  </si>
  <si>
    <t>JC INN INC</t>
  </si>
  <si>
    <t>SHM GROUP LLC</t>
  </si>
  <si>
    <t>2022EX05877</t>
  </si>
  <si>
    <t>8198-002-004-0007</t>
  </si>
  <si>
    <t>Unit C4, Building A</t>
  </si>
  <si>
    <t>LACKO JOSEPH M</t>
  </si>
  <si>
    <t>NEWMAN INVESTMENTS LLC</t>
  </si>
  <si>
    <t>2022EX05939</t>
  </si>
  <si>
    <t>362401-2-060-2008</t>
  </si>
  <si>
    <t>BL across from Peninsula Cr Union</t>
  </si>
  <si>
    <t>BONEWELL -GREENE MAXINE A</t>
  </si>
  <si>
    <t>PARDUN THOMAS &amp; KEIKE</t>
  </si>
  <si>
    <t>2022EX05963</t>
  </si>
  <si>
    <t>4366-013-008-0005</t>
  </si>
  <si>
    <t>Fourplex and four stall det garage</t>
  </si>
  <si>
    <t>NATHAN GLEN PROPERTIES THREE L</t>
  </si>
  <si>
    <t>2022EX06007</t>
  </si>
  <si>
    <t>8070-001-020-0002</t>
  </si>
  <si>
    <t>JUNGKEIT MICHAEL C &amp; KELEE L T</t>
  </si>
  <si>
    <t>DRURY RICHARD &amp; PEGGY</t>
  </si>
  <si>
    <t>2022EX06039</t>
  </si>
  <si>
    <t>8536-000-004-0002</t>
  </si>
  <si>
    <t>Unit D office/storage</t>
  </si>
  <si>
    <t>BAINBRIDGE ISLAND MUSEUM OF ART</t>
  </si>
  <si>
    <t>2022EX06056</t>
  </si>
  <si>
    <t>4449-001-003-0501</t>
  </si>
  <si>
    <t>BL - Newberry &amp; Dickey NE corner</t>
  </si>
  <si>
    <t>STONETRAHEY LLC</t>
  </si>
  <si>
    <t>RSC NEWBERRY LLC</t>
  </si>
  <si>
    <t>2022EX06060</t>
  </si>
  <si>
    <t>4796-031-001-0004</t>
  </si>
  <si>
    <t>Office w/Warehouse Bethel</t>
  </si>
  <si>
    <t>NSIG INVESTORS LLC</t>
  </si>
  <si>
    <t>STEPHENS CHRISTINE MARIE TRUSTEE</t>
  </si>
  <si>
    <t>2022EX06062</t>
  </si>
  <si>
    <t>4458-006-010-0004</t>
  </si>
  <si>
    <t>St Innocent</t>
  </si>
  <si>
    <t>ET OLD TOWN PROPERTIES LLC</t>
  </si>
  <si>
    <t>PINK TOWER HOLDING LLC</t>
  </si>
  <si>
    <t>2022EX06087</t>
  </si>
  <si>
    <t>232601-1-059-2006</t>
  </si>
  <si>
    <t>Better Homes &amp; Gardens RE McKenzie</t>
  </si>
  <si>
    <t>EIGHTH AVE POULSBO LLC</t>
  </si>
  <si>
    <t>POULSBO DENTAL CENTER BUILDING LLC</t>
  </si>
  <si>
    <t>2022EX06110</t>
  </si>
  <si>
    <t>4316-034-016-0002</t>
  </si>
  <si>
    <t>SFR NV E of Cntrl Ave on Pnslvnia Av</t>
  </si>
  <si>
    <t>NELSON CAROL JEAN</t>
  </si>
  <si>
    <t>KINGSTON CHRISTIAN CHURCH</t>
  </si>
  <si>
    <t>2022EX06177</t>
  </si>
  <si>
    <t>202501-1-154-2004</t>
  </si>
  <si>
    <t>Bay Shore Office Bldg</t>
  </si>
  <si>
    <t>MCFARLAND GARY P &amp; JANICE D</t>
  </si>
  <si>
    <t>THE DISPUTE RESOLUTION CENTER OF KIT</t>
  </si>
  <si>
    <t>2022EX06190</t>
  </si>
  <si>
    <t>252501-3-031-2004</t>
  </si>
  <si>
    <t>BL</t>
  </si>
  <si>
    <t>GABAGAT ELENITA A &amp; ANTONIO DI</t>
  </si>
  <si>
    <t>LOCQUIAO MARY JANE &amp; LAU GORDON ROCK</t>
  </si>
  <si>
    <t>2022EX06211</t>
  </si>
  <si>
    <t>ROGERS THOMAS J &amp; CATHERINE W TRUSTE</t>
  </si>
  <si>
    <t>2022EX06262</t>
  </si>
  <si>
    <t>4366-016-013-0001</t>
  </si>
  <si>
    <t>Lynch Apartments 3 of 3</t>
  </si>
  <si>
    <t>BERGER LANE LLC</t>
  </si>
  <si>
    <t>OLALLA ENTERPRISES LLC</t>
  </si>
  <si>
    <t>2022EX06283</t>
  </si>
  <si>
    <t>022401-1-103-2009</t>
  </si>
  <si>
    <t>Insignia Apartment homes Wheaton Way</t>
  </si>
  <si>
    <t>SP/LLU INSIGNIA LLC</t>
  </si>
  <si>
    <t>FK INSIGNIA LLC &amp; FIC INSIGNIA LLC</t>
  </si>
  <si>
    <t>2022EX06537</t>
  </si>
  <si>
    <t>082501-1-027-2005</t>
  </si>
  <si>
    <t>SFR Blissful Ln</t>
  </si>
  <si>
    <t>MARTIN JOEL E &amp; GRIEB ANNE M</t>
  </si>
  <si>
    <t>JOHANSEN ELDON &amp; VELASQUEZ EMILY</t>
  </si>
  <si>
    <t>2022EX06815</t>
  </si>
  <si>
    <t>4316-034-001-0009</t>
  </si>
  <si>
    <t>Apple Tree Cove Animal Hospital</t>
  </si>
  <si>
    <t>ROBINSON ENTERPRISES LLC</t>
  </si>
  <si>
    <t>NVA RE LLC</t>
  </si>
  <si>
    <t>2022EX06916</t>
  </si>
  <si>
    <t xml:space="preserve">Port Orchard WF-COM           </t>
  </si>
  <si>
    <t>4027-034-006-0103</t>
  </si>
  <si>
    <t>Annapolis Apts</t>
  </si>
  <si>
    <t>TEED ALAN HEYWOOD &amp; JOAN HEATH</t>
  </si>
  <si>
    <t>BAY STREET APTS LLC</t>
  </si>
  <si>
    <t>2022EX06952</t>
  </si>
  <si>
    <t>092501-3-034-2001</t>
  </si>
  <si>
    <t>Clear Creek RV Sales and Service</t>
  </si>
  <si>
    <t>GURTLER PROPERTIES LLC</t>
  </si>
  <si>
    <t>FRHP LINCOLNSHIRE LLC</t>
  </si>
  <si>
    <t>2022EX06954</t>
  </si>
  <si>
    <t>2022EX07046</t>
  </si>
  <si>
    <t>3718-005-028-0004</t>
  </si>
  <si>
    <t>Bri-Lor Building- Triplex</t>
  </si>
  <si>
    <t>GORMAN KEVIN</t>
  </si>
  <si>
    <t>RABELLINO SAMUEL L</t>
  </si>
  <si>
    <t>2022EX07123</t>
  </si>
  <si>
    <t>LUO JAMIE</t>
  </si>
  <si>
    <t>2022EX07186</t>
  </si>
  <si>
    <t>4502-007-018-0109</t>
  </si>
  <si>
    <t>321 S National - Auto repair</t>
  </si>
  <si>
    <t>RUDMAN RONALD JOHN</t>
  </si>
  <si>
    <t>2022EX07348</t>
  </si>
  <si>
    <t>3777-008-006-0002</t>
  </si>
  <si>
    <t>Spinnaker Bldg</t>
  </si>
  <si>
    <t>SIXTH STREET LLP</t>
  </si>
  <si>
    <t>GREYWOOD PROPERTIES 2 LLC</t>
  </si>
  <si>
    <t>2022EX07691</t>
  </si>
  <si>
    <t>3711-000-001-0409</t>
  </si>
  <si>
    <t>Old Bremerton Gasworks</t>
  </si>
  <si>
    <t>CAUGHIE CAROLYN MCCONKEY TRUST</t>
  </si>
  <si>
    <t>2022EX07961</t>
  </si>
  <si>
    <t>4458-007-001-0003</t>
  </si>
  <si>
    <t>Living Word Christian Ctr, exempt</t>
  </si>
  <si>
    <t>NEW HOPE CHURCH</t>
  </si>
  <si>
    <t>CARLTON KIRK LLC</t>
  </si>
  <si>
    <t>2022EX08005</t>
  </si>
  <si>
    <t>152401-3-094-2001</t>
  </si>
  <si>
    <t>4200 Kitsap Way - Brother Don's</t>
  </si>
  <si>
    <t>TOMPKINS DONALD J ESTATE</t>
  </si>
  <si>
    <t>COLLINS COMMERCIAL LLC</t>
  </si>
  <si>
    <t>2022EX08007</t>
  </si>
  <si>
    <t>4502-002-024-0201</t>
  </si>
  <si>
    <t>115 National - Warehouse</t>
  </si>
  <si>
    <t>FOX PATTY ANN TRUSTEE</t>
  </si>
  <si>
    <t>115 NATIONAL AVENUE LLC</t>
  </si>
  <si>
    <t>2022EX08023</t>
  </si>
  <si>
    <t>8103-000-005-0004</t>
  </si>
  <si>
    <t>T-Hangar Unit 5</t>
  </si>
  <si>
    <t>SCHAFER DEAN W &amp; PATRICIA L</t>
  </si>
  <si>
    <t>HALL EDMOND L &amp; SANDRA N</t>
  </si>
  <si>
    <t>2022EX08201</t>
  </si>
  <si>
    <t>102601-1-037-2008</t>
  </si>
  <si>
    <t>Lot 5Q  BL College Marketplace</t>
  </si>
  <si>
    <t>ARMOR STORAGE HOLDINGS LLC</t>
  </si>
  <si>
    <t>2022EX08238</t>
  </si>
  <si>
    <t>4502-003-023-0002</t>
  </si>
  <si>
    <t>Ind land National Ave DOE cleanup</t>
  </si>
  <si>
    <t>OLYMPIC HOMES LLC</t>
  </si>
  <si>
    <t>DICKSON COMPANY</t>
  </si>
  <si>
    <t>2022EX08356</t>
  </si>
  <si>
    <t>142601-4-079-2007</t>
  </si>
  <si>
    <t>Masterworks</t>
  </si>
  <si>
    <t>POWDER HILL LLC</t>
  </si>
  <si>
    <t>DUNK LLC</t>
  </si>
  <si>
    <t>2022EX08357</t>
  </si>
  <si>
    <t>232601-1-040-2008</t>
  </si>
  <si>
    <t>BL S of Lincoln E of Hwy 305</t>
  </si>
  <si>
    <t>URBAN POULSBO LLC</t>
  </si>
  <si>
    <t>SODOSOLO LLC</t>
  </si>
  <si>
    <t>2022EX08441</t>
  </si>
  <si>
    <t>4502-011-020-0008</t>
  </si>
  <si>
    <t>405 S National - Retail Warehouse</t>
  </si>
  <si>
    <t>R G &amp; A LLC</t>
  </si>
  <si>
    <t>2022EX08455</t>
  </si>
  <si>
    <t>MARSHALL KELSIANA M &amp; CRINEAN</t>
  </si>
  <si>
    <t>BADGER INVESTMENTS LLC</t>
  </si>
  <si>
    <t>2022EX08511</t>
  </si>
  <si>
    <t>132401-3-050-2005</t>
  </si>
  <si>
    <t>903 Pleasant Apts</t>
  </si>
  <si>
    <t>BYRON SHANNON M</t>
  </si>
  <si>
    <t>903 PLEASANT LLC</t>
  </si>
  <si>
    <t>2022EX08548</t>
  </si>
  <si>
    <t>8056-004-010-0006</t>
  </si>
  <si>
    <t>WW D-10  42LF</t>
  </si>
  <si>
    <t>2022EX08552</t>
  </si>
  <si>
    <t>352501-4-047-2002</t>
  </si>
  <si>
    <t>Lot fronts Hwy 303 between Fuson &amp; Vena</t>
  </si>
  <si>
    <t>MUNIE NORMA J ESTATE &amp;</t>
  </si>
  <si>
    <t>RESOURCE MANAGEMENT SOLUTIONS LLC</t>
  </si>
  <si>
    <t>2022EX08555</t>
  </si>
  <si>
    <t>3743-002-018-0002</t>
  </si>
  <si>
    <t>Broadway Apartments</t>
  </si>
  <si>
    <t>ROXANA APARTMENTS LLC</t>
  </si>
  <si>
    <t>WAMO PROPERTIES LLC</t>
  </si>
  <si>
    <t>2022EX08563</t>
  </si>
  <si>
    <t>3733-006-008-0106</t>
  </si>
  <si>
    <t>329 N Callow Retail Storefront</t>
  </si>
  <si>
    <t>FLEMISTER RONALD D &amp; FAYE E</t>
  </si>
  <si>
    <t>SEIBERT ROBERT K &amp; KRISTIN A</t>
  </si>
  <si>
    <t>2022EX08630</t>
  </si>
  <si>
    <t>132501-3-045-2002</t>
  </si>
  <si>
    <t>Daily Stop Market</t>
  </si>
  <si>
    <t>JEAN HILL PAMELA J</t>
  </si>
  <si>
    <t>GS ESTATE LLC</t>
  </si>
  <si>
    <t>2022EX08657</t>
  </si>
  <si>
    <t>362401-2-101-2009</t>
  </si>
  <si>
    <t>BL/Parking adj to fast food</t>
  </si>
  <si>
    <t>GEHRING RICHARD D &amp; KARIN L</t>
  </si>
  <si>
    <t>2022EX08688</t>
  </si>
  <si>
    <t>MDC COAST 22 LLC</t>
  </si>
  <si>
    <t>2022EX08694</t>
  </si>
  <si>
    <t>RESOURCE MANAGEMENT SOLUTIONS</t>
  </si>
  <si>
    <t>CHICK-FIL-A INC</t>
  </si>
  <si>
    <t>2022EX08708</t>
  </si>
  <si>
    <t xml:space="preserve">Gamble Bay-COM                </t>
  </si>
  <si>
    <t>282702-2-028-2005</t>
  </si>
  <si>
    <t/>
  </si>
  <si>
    <t>SAVAGE JAMES R &amp; JOAN</t>
  </si>
  <si>
    <t>CABRAL JILL CHESTER &amp; JOSEPH PAUL &amp;</t>
  </si>
  <si>
    <t>2022EX08733</t>
  </si>
  <si>
    <t>212401-1-132-2001</t>
  </si>
  <si>
    <t>West Hills Gas &amp; Car Wash &amp; Espresso</t>
  </si>
  <si>
    <t>PUNJABI CASCADE INC</t>
  </si>
  <si>
    <t>2022EX08745</t>
  </si>
  <si>
    <t>4062-008-003-0106</t>
  </si>
  <si>
    <t>589 Bethel Bldg</t>
  </si>
  <si>
    <t>BETHEL INVESTORS LLC</t>
  </si>
  <si>
    <t>PENLAND TRACI &amp; BAKER TONIA</t>
  </si>
  <si>
    <t>2022EX08842</t>
  </si>
  <si>
    <t>022301-4-095-2004</t>
  </si>
  <si>
    <t>Cove Coffee Company</t>
  </si>
  <si>
    <t>RANEY GROUP LLC</t>
  </si>
  <si>
    <t>J &amp; J REAL ESTATE HOLDINGS LLC</t>
  </si>
  <si>
    <t>2022EX08894</t>
  </si>
  <si>
    <t>3785-009-011-0003</t>
  </si>
  <si>
    <t>VanZee Apts 1628 Burwell Ave</t>
  </si>
  <si>
    <t>BURWELL APARTMENTS LLC</t>
  </si>
  <si>
    <t>R&amp;B PROPERTY C LLC</t>
  </si>
  <si>
    <t>2022EX08937</t>
  </si>
  <si>
    <t>8070-003-006-0006</t>
  </si>
  <si>
    <t>KELLY ROBERT J &amp; KATHLEEN M</t>
  </si>
  <si>
    <t>MERRY COLIN R &amp; INGE B</t>
  </si>
  <si>
    <t>2022EX09013</t>
  </si>
  <si>
    <t>KLEIN HENRY TRUSTEE</t>
  </si>
  <si>
    <t>2022EX09032</t>
  </si>
  <si>
    <t>4227-000-003-0105</t>
  </si>
  <si>
    <t>Marina Market</t>
  </si>
  <si>
    <t>G&amp;P ANDERSON PROPERTIES LLC</t>
  </si>
  <si>
    <t>C &amp; K 18882 FRONT ST LLC</t>
  </si>
  <si>
    <t>2022EX09059</t>
  </si>
  <si>
    <t>SANGHA HARDEEP SINGH &amp; AMRIK KAUR</t>
  </si>
  <si>
    <t>2022EX09092</t>
  </si>
  <si>
    <t>3734-011-014-0008</t>
  </si>
  <si>
    <t>Bremerton Animal Hospital</t>
  </si>
  <si>
    <t>BREMANHOSP LLC</t>
  </si>
  <si>
    <t>2022EX09093</t>
  </si>
  <si>
    <t>162501-4-133-2000</t>
  </si>
  <si>
    <t>BL-Ridgetop Blvd-future Panda Express</t>
  </si>
  <si>
    <t>VEREIT REAL ESTATE LP</t>
  </si>
  <si>
    <t>CFT NV DEVELOPMENTS LLC</t>
  </si>
  <si>
    <t>2022EX09101</t>
  </si>
  <si>
    <t>152401-4-010-2000</t>
  </si>
  <si>
    <t>Cypress Gardens Assisted Living</t>
  </si>
  <si>
    <t>BREMERTON ASSISTED LIVING LLC</t>
  </si>
  <si>
    <t>CYPRESS GARDENS ALC LLC</t>
  </si>
  <si>
    <t>2022EX09104</t>
  </si>
  <si>
    <t>342401-2-012-2009</t>
  </si>
  <si>
    <t>Paul's Bayshore Bldg</t>
  </si>
  <si>
    <t>DAVIS PAUL T &amp;</t>
  </si>
  <si>
    <t>PORT ORCHARD TUGBOAT COMPANY LLC</t>
  </si>
  <si>
    <t>2022EX09144</t>
  </si>
  <si>
    <t>152601-1-065-2008</t>
  </si>
  <si>
    <t>Auto Glass Plus</t>
  </si>
  <si>
    <t>RAAB &amp; RAAB PROPERTIES LLC</t>
  </si>
  <si>
    <t>JPEK PROPERTIES LLC</t>
  </si>
  <si>
    <t>2022EX09172</t>
  </si>
  <si>
    <t>222301-1-030-1006</t>
  </si>
  <si>
    <t>OVERTON &amp; ASSOCIATES</t>
  </si>
  <si>
    <t>PORT MADISON ENTERPRISES</t>
  </si>
  <si>
    <t>2023EX00012</t>
  </si>
  <si>
    <t>8536-000-001-0005</t>
  </si>
  <si>
    <t>Unit A office/storage</t>
  </si>
  <si>
    <t>2023EX00033</t>
  </si>
  <si>
    <t>8056-002-001-0001</t>
  </si>
  <si>
    <t>WW B-1 29LF</t>
  </si>
  <si>
    <t>VIBRANS PAUL G</t>
  </si>
  <si>
    <t>KIGHT JAMES LAWRENCE &amp; VICTORIA M</t>
  </si>
  <si>
    <t>2023EX00130</t>
  </si>
  <si>
    <t>322402-2-035-2003</t>
  </si>
  <si>
    <t>Port Orchard Glass</t>
  </si>
  <si>
    <t>LOCKE ARTHUR H &amp; PATRICIA R</t>
  </si>
  <si>
    <t>CASAUS JOSH B &amp; CINDEE J</t>
  </si>
  <si>
    <t>2023EX00169</t>
  </si>
  <si>
    <t>4316-007-001-0005</t>
  </si>
  <si>
    <t>3 retail stores ferry loading zone</t>
  </si>
  <si>
    <t>PACIFIC PROPERTIES PARTNERSHIP</t>
  </si>
  <si>
    <t>2023EX00259</t>
  </si>
  <si>
    <t>162501-2-084-2003</t>
  </si>
  <si>
    <t>REI</t>
  </si>
  <si>
    <t>SOUND WEST MYHRE RD PARTNERS L</t>
  </si>
  <si>
    <t>BFK LLC &amp; BUYS SILVER LLC &amp; EMES SIL</t>
  </si>
  <si>
    <t>2023EX00292</t>
  </si>
  <si>
    <t>162501-3-135-2000</t>
  </si>
  <si>
    <t>Creekside Plaza BSP Lot C</t>
  </si>
  <si>
    <t>BLAINE PARTNERS LLC</t>
  </si>
  <si>
    <t>2023EX00379</t>
  </si>
  <si>
    <t>8056-001-048-0008</t>
  </si>
  <si>
    <t>WW A-48 32LF</t>
  </si>
  <si>
    <t>MOORE RONALD R &amp; SUSAN W TRUST</t>
  </si>
  <si>
    <t>TSTREVELL RD LLC</t>
  </si>
  <si>
    <t>2023EX00421</t>
  </si>
  <si>
    <t>8536-000-002-0004</t>
  </si>
  <si>
    <t>Unit B Two story office/whse</t>
  </si>
  <si>
    <t>ALEXANDER DEAN &amp; SHAWN</t>
  </si>
  <si>
    <t>2023EX00479</t>
  </si>
  <si>
    <t>8056-002-021-0007</t>
  </si>
  <si>
    <t>WW B-21 28LF</t>
  </si>
  <si>
    <t>CAMPBELL SUSAN E</t>
  </si>
  <si>
    <t>CRANE JANE M</t>
  </si>
  <si>
    <t>2023EX00501</t>
  </si>
  <si>
    <t>4571-016-009-1006</t>
  </si>
  <si>
    <t xml:space="preserve">Mile Hill &amp; Woods </t>
  </si>
  <si>
    <t>REES LEON C &amp; REES MARJORIE F</t>
  </si>
  <si>
    <t>LIBERTY BAY ROLLERS LLC</t>
  </si>
  <si>
    <t>2023EX00502</t>
  </si>
  <si>
    <t>POINTE WEST-PFIII LLC</t>
  </si>
  <si>
    <t>2023EX00520</t>
  </si>
  <si>
    <t>132401-3-031-2009</t>
  </si>
  <si>
    <t>BL- 1 lot N of Pleasant &amp; 6th</t>
  </si>
  <si>
    <t>MARTIN MARGARET</t>
  </si>
  <si>
    <t>2023EX00536</t>
  </si>
  <si>
    <t>8070-002-009-0005</t>
  </si>
  <si>
    <t>ARMSTRONG JAMES L &amp; SHELLEY J</t>
  </si>
  <si>
    <t>WOLTERSDORF MICHAEL J</t>
  </si>
  <si>
    <t>2023EX00562</t>
  </si>
  <si>
    <t>8164-014-006-0000</t>
  </si>
  <si>
    <t>T-Hangar B14-6 (Bld Only)</t>
  </si>
  <si>
    <t>POSNER JAMES D &amp; ELIZABETH E R</t>
  </si>
  <si>
    <t>BURCHETT JAMES WILLIAM &amp; KIMBERLY D</t>
  </si>
  <si>
    <t>2023EX00652</t>
  </si>
  <si>
    <t>FATEH INVESTORS LLC</t>
  </si>
  <si>
    <t>2023EX00721</t>
  </si>
  <si>
    <t>4607-001-001-0105</t>
  </si>
  <si>
    <t>Tobacco Zone, Boerner Used firearms</t>
  </si>
  <si>
    <t>GTM ENTERPRISES INC</t>
  </si>
  <si>
    <t>LEE BROTHERS LLC</t>
  </si>
  <si>
    <t>2023EX00727</t>
  </si>
  <si>
    <t>4625-000-004-0102</t>
  </si>
  <si>
    <t>SFR Harold Dr</t>
  </si>
  <si>
    <t>SNOOK TARA KAY TRUSTEE</t>
  </si>
  <si>
    <t>2843 HAROLD DR LLC</t>
  </si>
  <si>
    <t>2023EX00736</t>
  </si>
  <si>
    <t>CRUMB JANINE R &amp; ELLEFSON BRIA</t>
  </si>
  <si>
    <t>PENINSULA COMMUNITY HEALTH SERVICES</t>
  </si>
  <si>
    <t>2023EX00737</t>
  </si>
  <si>
    <t>012401-2-128-2009</t>
  </si>
  <si>
    <t>Corner Hollis &amp; Maple 3 whse, office</t>
  </si>
  <si>
    <t>LOIDHAMER HOLDINGS LLC</t>
  </si>
  <si>
    <t>MOVER GIRL LLC</t>
  </si>
  <si>
    <t>2023EX00743</t>
  </si>
  <si>
    <t>8070-003-008-0004</t>
  </si>
  <si>
    <t>PERKINS THOMAS M &amp; CHERYL</t>
  </si>
  <si>
    <t>LARGENT DALE &amp; NIKKI ROEMMER</t>
  </si>
  <si>
    <t>2023EX00780</t>
  </si>
  <si>
    <t>022301-3-005-2005</t>
  </si>
  <si>
    <t>BL Sidney Road by Berry</t>
  </si>
  <si>
    <t>CAFFEINATED INVESTMENTS LLC</t>
  </si>
  <si>
    <t>2023EX00796</t>
  </si>
  <si>
    <t>082302-2-012-2001</t>
  </si>
  <si>
    <t>Long Lake Grocery</t>
  </si>
  <si>
    <t>BILLY JAX FINANCIAL LLC</t>
  </si>
  <si>
    <t>ISAIS FELIPE</t>
  </si>
  <si>
    <t>2023EX00828</t>
  </si>
  <si>
    <t>8207-001-001-0001</t>
  </si>
  <si>
    <t>Bldg A Unit 1</t>
  </si>
  <si>
    <t>DRIFTWOOD TWELVE LLC</t>
  </si>
  <si>
    <t>SINK ERIN &amp; YUN WESLEY &amp; AHN SOOMIE</t>
  </si>
  <si>
    <t>2023EX00947</t>
  </si>
  <si>
    <t>3795-002-022-0003</t>
  </si>
  <si>
    <t>1226 4th Street Triplex</t>
  </si>
  <si>
    <t>VOMENICI RICKY ESTATE &amp; VOMENI</t>
  </si>
  <si>
    <t>BHULLER BALTEJ SINGH &amp;</t>
  </si>
  <si>
    <t>2023EX00990</t>
  </si>
  <si>
    <t>162401-4-070-2006</t>
  </si>
  <si>
    <t>Auto Center Car Wash</t>
  </si>
  <si>
    <t>SHUR KLEEN CAR WASH INC</t>
  </si>
  <si>
    <t>BUTHERMOIL PROPERTIES LLC</t>
  </si>
  <si>
    <t>2023EX00998</t>
  </si>
  <si>
    <t>262501-4-037-2005</t>
  </si>
  <si>
    <t>Prime Storage</t>
  </si>
  <si>
    <t>WASHINGTON MINI STORAGE LLC</t>
  </si>
  <si>
    <t>PRIME STORAGE BREMERTON LLC</t>
  </si>
  <si>
    <t>2023EX01158</t>
  </si>
  <si>
    <t>3752-003-025-0009</t>
  </si>
  <si>
    <t>Auto Repair  6th and Naval</t>
  </si>
  <si>
    <t>SNOW BLIND LLC</t>
  </si>
  <si>
    <t>HEISTAND JEFFREY &amp; KARI CASE</t>
  </si>
  <si>
    <t>2023EX01321</t>
  </si>
  <si>
    <t xml:space="preserve">582- Tavern                   </t>
  </si>
  <si>
    <t>3779-001-027-0000</t>
  </si>
  <si>
    <t>818 6th Street - Monicas Social Club</t>
  </si>
  <si>
    <t>CAPPS MONICA PUDWILL</t>
  </si>
  <si>
    <t>THE SALVATION ARMY INC</t>
  </si>
  <si>
    <t>2023EX01343</t>
  </si>
  <si>
    <t>152501-3-015-2006</t>
  </si>
  <si>
    <t>Bl N of Waaga Way W of Ridgetop</t>
  </si>
  <si>
    <t>ROYAL VALLEY LLC</t>
  </si>
  <si>
    <t>ROSS ROBERT R TRUSTEE</t>
  </si>
  <si>
    <t>2023EX01385</t>
  </si>
  <si>
    <t>MOLISKY CHARLES F &amp; KNAUSS EVE</t>
  </si>
  <si>
    <t>PERLATTI CHRISTOPHER LEE</t>
  </si>
  <si>
    <t>2023EX01386</t>
  </si>
  <si>
    <t>8070-002-040-0006</t>
  </si>
  <si>
    <t>HEWSON TERI</t>
  </si>
  <si>
    <t>MOLISKY CHARLES &amp; KNAUSS EVELYN J</t>
  </si>
  <si>
    <t>2023EX01483</t>
  </si>
  <si>
    <t>4526-000-011-1101</t>
  </si>
  <si>
    <t>Fix Auto</t>
  </si>
  <si>
    <t>DENNY MARK &amp; PATRICIA PURCELL</t>
  </si>
  <si>
    <t>EBEYS LANDING 82 LLC</t>
  </si>
  <si>
    <t>2023EX01502</t>
  </si>
  <si>
    <t xml:space="preserve">508- Lodging condo            </t>
  </si>
  <si>
    <t>8166-000-001-0002</t>
  </si>
  <si>
    <t>Best Western Bainbridge Island Suite/The Marshall</t>
  </si>
  <si>
    <t>BB HOTEL LLC</t>
  </si>
  <si>
    <t>BI APT PORTFOLIO 1 LLC</t>
  </si>
  <si>
    <t>2023EX01557</t>
  </si>
  <si>
    <t>MAN CAVE LLC</t>
  </si>
  <si>
    <t>2023EX01602</t>
  </si>
  <si>
    <t>162501-4-110-2007</t>
  </si>
  <si>
    <t>Tractor Supply &amp; lg retail</t>
  </si>
  <si>
    <t>ALAMO KITSAP LLC</t>
  </si>
  <si>
    <t>M3J INVESTMENT LLC</t>
  </si>
  <si>
    <t>2023EX01604</t>
  </si>
  <si>
    <t>012301-4-010-1009</t>
  </si>
  <si>
    <t>Horseshoe Auto Wrecking</t>
  </si>
  <si>
    <t>LARSON LEONARD &amp; TRACEY</t>
  </si>
  <si>
    <t>HORSESHOE AUTO WRECKING LLC</t>
  </si>
  <si>
    <t>2023EX01641</t>
  </si>
  <si>
    <t>202502-1-051-2007</t>
  </si>
  <si>
    <t>Island Center Self Strg, Retail</t>
  </si>
  <si>
    <t>ISLAND CENTER SELF STORAGE LLC</t>
  </si>
  <si>
    <t>BPR RENTON LLC</t>
  </si>
  <si>
    <t>2023EX01650</t>
  </si>
  <si>
    <t>322401-4-075-2001</t>
  </si>
  <si>
    <t>2 SFRs on Hwy 3 W</t>
  </si>
  <si>
    <t>HOCEK ANGELICA PAT</t>
  </si>
  <si>
    <t>VOROBYEV DENIS</t>
  </si>
  <si>
    <t>2023EX01695</t>
  </si>
  <si>
    <t>8070-003-025-0003</t>
  </si>
  <si>
    <t>CONLAN MICHAEL R &amp; NITA</t>
  </si>
  <si>
    <t>OWEN MARK &amp; SHARON</t>
  </si>
  <si>
    <t>2023EX01724</t>
  </si>
  <si>
    <t>092501-3-006-2005</t>
  </si>
  <si>
    <t>2- Warehouses on ClearCreek</t>
  </si>
  <si>
    <t>BRYANT DAVID L &amp; HINTHORN HEID</t>
  </si>
  <si>
    <t>SHOU JIANMING</t>
  </si>
  <si>
    <t>2023EX01740</t>
  </si>
  <si>
    <t>3811-002-029-0105</t>
  </si>
  <si>
    <t>Espresso Stand  &amp; Garage 6th St</t>
  </si>
  <si>
    <t>GREGORY ROBERT</t>
  </si>
  <si>
    <t>BERTSCH RAYMOND G</t>
  </si>
  <si>
    <t>2023EX01770</t>
  </si>
  <si>
    <t>8180-000-109-0005</t>
  </si>
  <si>
    <t>Seabreeze Bldg C-1, #109</t>
  </si>
  <si>
    <t>HEY BJUNE LLC</t>
  </si>
  <si>
    <t>2023EX01781</t>
  </si>
  <si>
    <t>322401-1-082-2008</t>
  </si>
  <si>
    <t>BL Wetlands on Sinclair Inlet next to office bldg</t>
  </si>
  <si>
    <t>MCTURNAL WILLIAM W &amp;</t>
  </si>
  <si>
    <t>WATERMAN MITIGATION PARTNERS LLC</t>
  </si>
  <si>
    <t>2023EX01820</t>
  </si>
  <si>
    <t>362501-2-008-2002</t>
  </si>
  <si>
    <t>Olympic Organics, Espresso</t>
  </si>
  <si>
    <t>LILLYBRIDGE CLIFFORD L ESTATE</t>
  </si>
  <si>
    <t>BROWN TO GREEN PROPERTIES LLC</t>
  </si>
  <si>
    <t>2023EX01930</t>
  </si>
  <si>
    <t>4274-000-025-0101</t>
  </si>
  <si>
    <t>Retail with apartment above.</t>
  </si>
  <si>
    <t>WANG MEIFU</t>
  </si>
  <si>
    <t>HANSVILLE 38955 LLC</t>
  </si>
  <si>
    <t>2023EX01956</t>
  </si>
  <si>
    <t>8070-002-011-0001</t>
  </si>
  <si>
    <t>PYC B-11  44LF</t>
  </si>
  <si>
    <t>STEVENSON BILLIE M JR</t>
  </si>
  <si>
    <t>MADDIE MICHAEL C</t>
  </si>
  <si>
    <t>2023EX01997</t>
  </si>
  <si>
    <t>3806-004-027-0001</t>
  </si>
  <si>
    <t>SFR on Callow</t>
  </si>
  <si>
    <t>FRANK TOMOKO</t>
  </si>
  <si>
    <t>VU PHILLIP &amp; CHONG MARY LIYI</t>
  </si>
  <si>
    <t>2023EX02029</t>
  </si>
  <si>
    <t>4316-031-004-0002</t>
  </si>
  <si>
    <t>BL N of 1st on Iowa Ave</t>
  </si>
  <si>
    <t>TALMAGE JAY M TRUSTEE</t>
  </si>
  <si>
    <t>GREEN JEFFREY S &amp; MACALUSO JENNIFER</t>
  </si>
  <si>
    <t>2023EX02047</t>
  </si>
  <si>
    <t>8191-000-204-0006</t>
  </si>
  <si>
    <t>Unit 204</t>
  </si>
  <si>
    <t>RANEY JAMES O &amp; CAROLYNN S</t>
  </si>
  <si>
    <t>FAIRBORNE PROPERTIES LLC</t>
  </si>
  <si>
    <t>2023EX02097</t>
  </si>
  <si>
    <t>092502-1-063-2008</t>
  </si>
  <si>
    <t>Warehouse &amp; Flex Whse off Miller &amp; Day roads</t>
  </si>
  <si>
    <t>S - Segregation</t>
  </si>
  <si>
    <t>JOHNSON RANDALL G &amp; DEBORAH L</t>
  </si>
  <si>
    <t>A &amp; G LLC</t>
  </si>
  <si>
    <t>2023EX02107</t>
  </si>
  <si>
    <t>362401-2-011-2008</t>
  </si>
  <si>
    <t>Oral surgery</t>
  </si>
  <si>
    <t>HEPWORTH &amp; SONS LLC</t>
  </si>
  <si>
    <t>RCLW LLC</t>
  </si>
  <si>
    <t>2023EX02178</t>
  </si>
  <si>
    <t>022301-4-047-2003</t>
  </si>
  <si>
    <t>Conv SFR Retail  4108 Bethel</t>
  </si>
  <si>
    <t>BRISTER BRENT BRADLEY</t>
  </si>
  <si>
    <t>LEESEMANN STUART WILLIAM &amp; KIM MAI T</t>
  </si>
  <si>
    <t>2023EX02212</t>
  </si>
  <si>
    <t>022401-1-089-2007</t>
  </si>
  <si>
    <t>MCCloud's Grill</t>
  </si>
  <si>
    <t>SEE PARTNERS LLC</t>
  </si>
  <si>
    <t>COFFEE IS ON LLC</t>
  </si>
  <si>
    <t>2023EX02275</t>
  </si>
  <si>
    <t>SNYDER LIVING TRUST</t>
  </si>
  <si>
    <t>SICILIA MARIANNE &amp; DODGE LEONARD DAV</t>
  </si>
  <si>
    <t>2023EX02294</t>
  </si>
  <si>
    <t>082501-4-071-2004</t>
  </si>
  <si>
    <t>SILVERDALE PHASE 2 LLC</t>
  </si>
  <si>
    <t>2023EX02328</t>
  </si>
  <si>
    <t>3797-026-008-0206</t>
  </si>
  <si>
    <t>4-Plex @ Hewitt Avenue &amp; 6th Street-CONTAMINATED</t>
  </si>
  <si>
    <t>EAGLES WINGS COORDINATED CARE</t>
  </si>
  <si>
    <t>2023EX02410</t>
  </si>
  <si>
    <t>2023EX02415</t>
  </si>
  <si>
    <t>222401-2-065-2009</t>
  </si>
  <si>
    <t>332 S National - Clubhouse Bar/Grill</t>
  </si>
  <si>
    <t>R G J &amp; A TAVERN LLC</t>
  </si>
  <si>
    <t>KLEIVA ERIK &amp; CAMPBELL KIMBERLEY</t>
  </si>
  <si>
    <t>2023EX02483</t>
  </si>
  <si>
    <t>4366-006-001-0006</t>
  </si>
  <si>
    <t>Duplex &amp; Garage In Keyport</t>
  </si>
  <si>
    <t>WATNE BRIAN K &amp; MECHELLE L</t>
  </si>
  <si>
    <t>JC WARD PROPERTIES LLC</t>
  </si>
  <si>
    <t>2023EX02523</t>
  </si>
  <si>
    <t>152601-4-012-2006</t>
  </si>
  <si>
    <t>Flex Warehous off Edvard Street</t>
  </si>
  <si>
    <t>KOLLER RONALD H &amp; HEIDI A</t>
  </si>
  <si>
    <t>SHOOMADOGGIE ENTERPRISES INC</t>
  </si>
  <si>
    <t>2023EX02534</t>
  </si>
  <si>
    <t xml:space="preserve">Manchester - Yukon Harbor-COM </t>
  </si>
  <si>
    <t>222402-3-003-2001</t>
  </si>
  <si>
    <t>Capital Tavern &amp; Dept of Ecology</t>
  </si>
  <si>
    <t xml:space="preserve">CO--MVC                       </t>
  </si>
  <si>
    <t>OIEN DALE &amp; MARILYN</t>
  </si>
  <si>
    <t>MANCHESTER PROPERTIES LLC</t>
  </si>
  <si>
    <t>2023EX02555</t>
  </si>
  <si>
    <t>WERNER MATTHEW LEON &amp; GRETCHEN LOUIS</t>
  </si>
  <si>
    <t>2023EX02573</t>
  </si>
  <si>
    <t>172501-4-034-2009</t>
  </si>
  <si>
    <t>Irene's School of Dance</t>
  </si>
  <si>
    <t>MILLER JR DON T &amp; IRENE K</t>
  </si>
  <si>
    <t>BALDUF DENNIS R &amp; SARAH L</t>
  </si>
  <si>
    <t>2023EX02595</t>
  </si>
  <si>
    <t>022301-2-103-2008</t>
  </si>
  <si>
    <t>Fourplex Sidney Ave</t>
  </si>
  <si>
    <t>TRAN THAI BA &amp; WU-TRAN CINDY K</t>
  </si>
  <si>
    <t>ALBAN DAVID &amp; DARCY</t>
  </si>
  <si>
    <t>2023EX02666</t>
  </si>
  <si>
    <t>262401-3-005-2006</t>
  </si>
  <si>
    <t>SFR converted to office</t>
  </si>
  <si>
    <t>GRAY NATHAN D</t>
  </si>
  <si>
    <t>WAY JAMES R &amp; WAY JEFFERY K</t>
  </si>
  <si>
    <t>2023EX02713</t>
  </si>
  <si>
    <t>4625-000-006-0100</t>
  </si>
  <si>
    <t>Triplex on Harold</t>
  </si>
  <si>
    <t>SUMMIT RIDGE PROPERTIES 2 LLC</t>
  </si>
  <si>
    <t>2023EX02778</t>
  </si>
  <si>
    <t>4650-006-007-0005</t>
  </si>
  <si>
    <t>Converted SFR Dwight St</t>
  </si>
  <si>
    <t>KLC MANAGEMENT LLC</t>
  </si>
  <si>
    <t>KITSAP RESCUE MISSION</t>
  </si>
  <si>
    <t>2023EX02821</t>
  </si>
  <si>
    <t>102501-3-053-2004</t>
  </si>
  <si>
    <t>Ridgetop Animal Hospital</t>
  </si>
  <si>
    <t>PAULSON JOHN A</t>
  </si>
  <si>
    <t>FCPT HOLDINGS LLC</t>
  </si>
  <si>
    <t>2023EX02825</t>
  </si>
  <si>
    <t>262501-1-043-2003</t>
  </si>
  <si>
    <t>CSWG/QSR/Retail Fairgrounds</t>
  </si>
  <si>
    <t>NORTH STREAM LLC</t>
  </si>
  <si>
    <t>FAIRGROUNDS PLAZA LLC</t>
  </si>
  <si>
    <t>2023EX02828</t>
  </si>
  <si>
    <t>362401-2-059-2001</t>
  </si>
  <si>
    <t>Stellar Motel (former Vista Motel)</t>
  </si>
  <si>
    <t>KIM SUNG KYU &amp; WOO CHUN</t>
  </si>
  <si>
    <t>HWANG KOOK &amp; SUN JONG</t>
  </si>
  <si>
    <t>2023EX02895</t>
  </si>
  <si>
    <t>4230-002-009-0001</t>
  </si>
  <si>
    <t>Office/Retail Front Street</t>
  </si>
  <si>
    <t>BROWN LOREN M &amp; LAURINE A</t>
  </si>
  <si>
    <t>2023EX02931</t>
  </si>
  <si>
    <t>8056-003-027-0009</t>
  </si>
  <si>
    <t>WW C-27 36LF</t>
  </si>
  <si>
    <t>CHISSUS LYNNE A</t>
  </si>
  <si>
    <t>2023EX02986</t>
  </si>
  <si>
    <t>SUNRISE PROPERTIES I LLC</t>
  </si>
  <si>
    <t>2023EX03021</t>
  </si>
  <si>
    <t>4458-006-010-0103</t>
  </si>
  <si>
    <t>Belleza Salon</t>
  </si>
  <si>
    <t>2023EX03095</t>
  </si>
  <si>
    <t>272702-2-046-2004</t>
  </si>
  <si>
    <t>BL East of Rite Aid on Hwy 104</t>
  </si>
  <si>
    <t>KINGSTON CORNERS LLC</t>
  </si>
  <si>
    <t>NORTHPOINT CONSTRUCTION &amp; DEVELOPMEN</t>
  </si>
  <si>
    <t>2023EX03098</t>
  </si>
  <si>
    <t>202501-1-051-2008</t>
  </si>
  <si>
    <t>SFR Bayshore Dr</t>
  </si>
  <si>
    <t>T &amp; B HOLDINGS LLC</t>
  </si>
  <si>
    <t>NGUYEN LEER</t>
  </si>
  <si>
    <t>2023EX03115</t>
  </si>
  <si>
    <t>3778-002-020-0006</t>
  </si>
  <si>
    <t>164 Rainier -Hairworks for Kids</t>
  </si>
  <si>
    <t>HUNTER MICHAEL D &amp; DONNA A</t>
  </si>
  <si>
    <t>NHAM TUYEN</t>
  </si>
  <si>
    <t>2023EX03131</t>
  </si>
  <si>
    <t>4047-003-007-0301</t>
  </si>
  <si>
    <t>Fourplex-West Ave</t>
  </si>
  <si>
    <t xml:space="preserve">PO--R4                        </t>
  </si>
  <si>
    <t>BERGERON CLINTON J &amp; DEBRA KEE</t>
  </si>
  <si>
    <t>JONES DANIEL R &amp; ERIKA L</t>
  </si>
  <si>
    <t>2023EX03152</t>
  </si>
  <si>
    <t>3976-030-073-0003</t>
  </si>
  <si>
    <t>BL on Wheaton Way</t>
  </si>
  <si>
    <t>SMITH MARY ANN</t>
  </si>
  <si>
    <t>KOBAYASHI FUTOSHI &amp; SUNHEE</t>
  </si>
  <si>
    <t>2023EX03157</t>
  </si>
  <si>
    <t>3777-006-013-0007</t>
  </si>
  <si>
    <t>BL behind Rite Aid</t>
  </si>
  <si>
    <t>DORMANT ACRES LLC</t>
  </si>
  <si>
    <t>2023EX03400</t>
  </si>
  <si>
    <t>2023EX03401</t>
  </si>
  <si>
    <t>082501-1-003-2003</t>
  </si>
  <si>
    <t>SFR Clear Creek</t>
  </si>
  <si>
    <t>POTTER OLA RACHEL</t>
  </si>
  <si>
    <t>2023EX03402</t>
  </si>
  <si>
    <t>082501-4-070-2005</t>
  </si>
  <si>
    <t>Fieldstone Senior Housing &amp; Memory Care</t>
  </si>
  <si>
    <t>2023EX03403</t>
  </si>
  <si>
    <t>082501-1-005-2001</t>
  </si>
  <si>
    <t>Silverdale Grange 879</t>
  </si>
  <si>
    <t>SILVERDALE GRANGE NO 879</t>
  </si>
  <si>
    <t>2023EX03449</t>
  </si>
  <si>
    <t>082501-4-033-2001</t>
  </si>
  <si>
    <t>BL on Clear Creek N of Greaves Way</t>
  </si>
  <si>
    <t>XYZ MARKETING &amp; MANAGEMENT LLC</t>
  </si>
  <si>
    <t>2023EX03450</t>
  </si>
  <si>
    <t>052501-1-010-2007</t>
  </si>
  <si>
    <t>Clear Creek Grocery</t>
  </si>
  <si>
    <t>KIM HYON SAM &amp; EUN HEE</t>
  </si>
  <si>
    <t>2023EX03455</t>
  </si>
  <si>
    <t>322401-4-024-2003</t>
  </si>
  <si>
    <t>Old Bryman Tech Institute</t>
  </si>
  <si>
    <t>ANTIOCH WORLD MINISTRIES INC</t>
  </si>
  <si>
    <t>2023EX03457</t>
  </si>
  <si>
    <t>092501-3-010-2009</t>
  </si>
  <si>
    <t>BL zoned Commercial off Clear Creek</t>
  </si>
  <si>
    <t>MARSCH DEBORAH J</t>
  </si>
  <si>
    <t>2023EX03475</t>
  </si>
  <si>
    <t>022401-4-048-2001</t>
  </si>
  <si>
    <t>Pinewood MHP</t>
  </si>
  <si>
    <t>PINEWOOD MOBILE LLC</t>
  </si>
  <si>
    <t>PINEWOOD PARK LLC</t>
  </si>
  <si>
    <t>2023EX03480</t>
  </si>
  <si>
    <t>232601-1-013-2001</t>
  </si>
  <si>
    <t>Rencher Dental Office</t>
  </si>
  <si>
    <t>RENCHER PROPERTIES LLC</t>
  </si>
  <si>
    <t>JL GROUP LLC</t>
  </si>
  <si>
    <t>2023EX03492</t>
  </si>
  <si>
    <t>272701-4-089-2009</t>
  </si>
  <si>
    <t>Hwy 3 &amp; Pioneer</t>
  </si>
  <si>
    <t>PIONEER WAY HOLDING LLC</t>
  </si>
  <si>
    <t>BIDERMAN LLC</t>
  </si>
  <si>
    <t>2023EX03512</t>
  </si>
  <si>
    <t>3718-006-006-0008</t>
  </si>
  <si>
    <t>Roxy Theater</t>
  </si>
  <si>
    <t>SWG ROXY LLC</t>
  </si>
  <si>
    <t>ROXY BREMERTON</t>
  </si>
  <si>
    <t>2023EX03522</t>
  </si>
  <si>
    <t>4859-001-008-0004</t>
  </si>
  <si>
    <t>Montessori School</t>
  </si>
  <si>
    <t xml:space="preserve">CO--RP                        </t>
  </si>
  <si>
    <t>WEAVER THERAN C III &amp; ANNETTE</t>
  </si>
  <si>
    <t>HARBOR MONTESSORI SCHOOL</t>
  </si>
  <si>
    <t>2023EX03526</t>
  </si>
  <si>
    <t>362401-2-094-2008</t>
  </si>
  <si>
    <t>Midas &amp; Stormy Espresso</t>
  </si>
  <si>
    <t>J &amp; L DEVELOPMENT INC</t>
  </si>
  <si>
    <t>JAB REAL ESTATE HOLDINGS INC</t>
  </si>
  <si>
    <t>2023EX03537</t>
  </si>
  <si>
    <t>292702-1-063-2002</t>
  </si>
  <si>
    <t>Warehouse - Lot E Kingston W Ind Pk</t>
  </si>
  <si>
    <t>WJE HOLDINGS LLC</t>
  </si>
  <si>
    <t>MILEUM HURD HOLDINGS LLC</t>
  </si>
  <si>
    <t>2023EX03555</t>
  </si>
  <si>
    <t>8070-002-008-0006</t>
  </si>
  <si>
    <t>PYC 44 LF</t>
  </si>
  <si>
    <t>REASONER EDWARD ALAN &amp; ALICE D</t>
  </si>
  <si>
    <t>LINK DAVID H &amp; V JOURNEL CAMPBELL &amp;</t>
  </si>
  <si>
    <t>2023EX03560</t>
  </si>
  <si>
    <t>082501-4-021-2005</t>
  </si>
  <si>
    <t>Former Conv SFR off Clear Creek</t>
  </si>
  <si>
    <t>2023EX03665</t>
  </si>
  <si>
    <t>082501-1-018-2006</t>
  </si>
  <si>
    <t>SFR Clear Creek Rd</t>
  </si>
  <si>
    <t>DAVID RODRIGO A &amp; JOSEPHINE</t>
  </si>
  <si>
    <t>2023EX03673</t>
  </si>
  <si>
    <t>162501-2-070-2009</t>
  </si>
  <si>
    <t>All Star Lanes</t>
  </si>
  <si>
    <t>OZZIES ALL STAR LLC</t>
  </si>
  <si>
    <t>PROJECT EVERGREEN WA LLC</t>
  </si>
  <si>
    <t>2023EX03697</t>
  </si>
  <si>
    <t>4505-000-012-0008</t>
  </si>
  <si>
    <t>Gorst Division Ave RV Park</t>
  </si>
  <si>
    <t>SHEARY ROSE E ESTATE &amp;</t>
  </si>
  <si>
    <t>GORST TINY HOMES LLC</t>
  </si>
  <si>
    <t>2023EX03749</t>
  </si>
  <si>
    <t>3972-000-012-0004</t>
  </si>
  <si>
    <t>Key Bank - Wheaton Way</t>
  </si>
  <si>
    <t>KEYBANK NATIONAL ASSOCIATION</t>
  </si>
  <si>
    <t>GLINT CAR WASH BREMERTON LLC</t>
  </si>
  <si>
    <t>2023EX03821</t>
  </si>
  <si>
    <t>122301-2-006-1006</t>
  </si>
  <si>
    <t>Definace Boats/SFR Harry Earl Rd</t>
  </si>
  <si>
    <t>SWP PROPERTIES LIMITED LIABILITY COM</t>
  </si>
  <si>
    <t>2023EX03828</t>
  </si>
  <si>
    <t>362401-3-041-2000</t>
  </si>
  <si>
    <t>Port Orchard Eyecare Center</t>
  </si>
  <si>
    <t>CLEARLY INVISION LLC</t>
  </si>
  <si>
    <t>2023EX03832</t>
  </si>
  <si>
    <t>362401-3-076-2008</t>
  </si>
  <si>
    <t>Lundbergs MHP</t>
  </si>
  <si>
    <t>MISHKO PROPERTIES LLC</t>
  </si>
  <si>
    <t>2023EX03916</t>
  </si>
  <si>
    <t>GRAY NATHAN ET AL</t>
  </si>
  <si>
    <t>INSPIRATIONAL VENTURES LLC</t>
  </si>
  <si>
    <t>2023EX03960</t>
  </si>
  <si>
    <t>352501-4-019-2006</t>
  </si>
  <si>
    <t>BL Furneys Lane</t>
  </si>
  <si>
    <t>PETINES RUDY G &amp; LINDA B</t>
  </si>
  <si>
    <t>2023EX03997</t>
  </si>
  <si>
    <t>022401-1-102-2000</t>
  </si>
  <si>
    <t>Broadmoor Commons</t>
  </si>
  <si>
    <t>BROADMOOR COMMONS LLC</t>
  </si>
  <si>
    <t>HARBOR POINTE DEVELOPMENT LLC</t>
  </si>
  <si>
    <t>2023EX04109</t>
  </si>
  <si>
    <t>3806-005-021-0004</t>
  </si>
  <si>
    <t>101 - 103 N Montgomery Apartments Fourplex</t>
  </si>
  <si>
    <t>STROHAUER DAVID G</t>
  </si>
  <si>
    <t>BOTHELL EDGE LLC</t>
  </si>
  <si>
    <t>2023EX04140</t>
  </si>
  <si>
    <t>THE PALISADES APARTMENTS GROUP LLC</t>
  </si>
  <si>
    <t>2023EX04148</t>
  </si>
  <si>
    <t>3734-012-018-0101</t>
  </si>
  <si>
    <t>Retail corner Kitsap Way &amp; Wycoff</t>
  </si>
  <si>
    <t>JANIKOWSKI DAVID &amp; WRIGHT DELL</t>
  </si>
  <si>
    <t>GREYWOOD PROPERTIES LLC</t>
  </si>
  <si>
    <t>2023EX04199</t>
  </si>
  <si>
    <t>4609-000-004-0003</t>
  </si>
  <si>
    <t>BL site - proposed apartments</t>
  </si>
  <si>
    <t>RHINO HOLDINGS SOUTH PARK LLC</t>
  </si>
  <si>
    <t>VILLAGE LANE LLC</t>
  </si>
  <si>
    <t>2023EX04280</t>
  </si>
  <si>
    <t>4549-000-026-0000</t>
  </si>
  <si>
    <t>Conv SFR Marlin &amp; Mil Hill</t>
  </si>
  <si>
    <t>PEACOCK DARLA R &amp; VANDERSTAAY</t>
  </si>
  <si>
    <t>BRYFAM HOLDINGS LLC</t>
  </si>
  <si>
    <t>2023EX04380</t>
  </si>
  <si>
    <t>4514-000-010-0009</t>
  </si>
  <si>
    <t>Woodridge Vision Clinic</t>
  </si>
  <si>
    <t>MCGRATH MICHAEL G</t>
  </si>
  <si>
    <t>JPND REAL ESTATE HOLDINGS LLC</t>
  </si>
  <si>
    <t>2023EX04441</t>
  </si>
  <si>
    <t>8056-001-033-0005</t>
  </si>
  <si>
    <t>WW A-33 46LF</t>
  </si>
  <si>
    <t>STRETCH JAMES J AND CARRERE SYBIL</t>
  </si>
  <si>
    <t>2023EX04442</t>
  </si>
  <si>
    <t>8056-001-037-0001</t>
  </si>
  <si>
    <t>WW A-37, 46LF</t>
  </si>
  <si>
    <t>SCHULMAN EDWARD Y</t>
  </si>
  <si>
    <t>2023EX04470</t>
  </si>
  <si>
    <t>052401-3-013-2001</t>
  </si>
  <si>
    <t>Chico C-swg, Sugar Shack Espresso</t>
  </si>
  <si>
    <t>CHICO WAY SHELL INC</t>
  </si>
  <si>
    <t>3600 CHICO WAY NW LLC</t>
  </si>
  <si>
    <t>2023EX04764</t>
  </si>
  <si>
    <t>8198-002-003-0008</t>
  </si>
  <si>
    <t>Unit C3, Building A</t>
  </si>
  <si>
    <t>SADDIE FAMILY LLC</t>
  </si>
  <si>
    <t>2023EX04799</t>
  </si>
  <si>
    <t>222401-2-068-2006</t>
  </si>
  <si>
    <t>Warehouse off National &amp; Loxie Eagans Blvd</t>
  </si>
  <si>
    <t>LJF REAL ESTATE INVESTMENTS LL</t>
  </si>
  <si>
    <t>2023EX04850</t>
  </si>
  <si>
    <t>082501-1-039-2001</t>
  </si>
  <si>
    <t>SFR's on Coml</t>
  </si>
  <si>
    <t>BATES LAURA A</t>
  </si>
  <si>
    <t>BATES CHARLES A</t>
  </si>
  <si>
    <t>2023EX04866</t>
  </si>
  <si>
    <t>2023EX04869</t>
  </si>
  <si>
    <t>2023EX05014</t>
  </si>
  <si>
    <t>4625-000-006-0209</t>
  </si>
  <si>
    <t>Insurance office and excess land</t>
  </si>
  <si>
    <t>HUFF LESLIE J</t>
  </si>
  <si>
    <t>2023EX05184</t>
  </si>
  <si>
    <t>232601-1-067-2006</t>
  </si>
  <si>
    <t>NK Veterinary Clinic</t>
  </si>
  <si>
    <t>HARRISON SHARON CLEGG TRUSTEE</t>
  </si>
  <si>
    <t>NORTH KITSAP VETERINARY HOLDINGS LLC</t>
  </si>
  <si>
    <t>2023EX05247</t>
  </si>
  <si>
    <t>3718-019-007-0000</t>
  </si>
  <si>
    <t>SFR on Burwell St-parking via alley</t>
  </si>
  <si>
    <t>LEE NORMAN J JR ESTATE</t>
  </si>
  <si>
    <t>SECOND BUILDING LLC</t>
  </si>
  <si>
    <t>2023EX05326</t>
  </si>
  <si>
    <t xml:space="preserve">119- MH - Real Property       </t>
  </si>
  <si>
    <t>092501-2-015-2006</t>
  </si>
  <si>
    <t>MH zoned Commercial</t>
  </si>
  <si>
    <t>BRADDOCK VIRGINIA LEE</t>
  </si>
  <si>
    <t>K777K LLC</t>
  </si>
  <si>
    <t>2023EX05425</t>
  </si>
  <si>
    <t>4650-007-001-0009</t>
  </si>
  <si>
    <t>Greenwood Bldg</t>
  </si>
  <si>
    <t>HILLSTROM KEITH ALLEN TRUSTEE</t>
  </si>
  <si>
    <t>HILLSTROM HOLDINGS LLC</t>
  </si>
  <si>
    <t>2023EX05455</t>
  </si>
  <si>
    <t>5601-000-006-0303</t>
  </si>
  <si>
    <t>Warehouse</t>
  </si>
  <si>
    <t>BR-549 HOLDINGS LLC</t>
  </si>
  <si>
    <t>JASLAND LLC</t>
  </si>
  <si>
    <t>2023EX05483</t>
  </si>
  <si>
    <t>4390-003-012-0000</t>
  </si>
  <si>
    <t xml:space="preserve">CO--SVC                       </t>
  </si>
  <si>
    <t>JOHNSON KATHY M</t>
  </si>
  <si>
    <t>TETRICK DANIEL E &amp; LAURA E</t>
  </si>
  <si>
    <t>2023EX05523</t>
  </si>
  <si>
    <t>8061-001-011-0004</t>
  </si>
  <si>
    <t>Winslow Green #1A</t>
  </si>
  <si>
    <t>CUNNINGHAM THOMAS &amp; SUELLEN</t>
  </si>
  <si>
    <t>MIDDLETON MARK RICHARD &amp;</t>
  </si>
  <si>
    <t>2023EX05546</t>
  </si>
  <si>
    <t>4625-000-003-0509</t>
  </si>
  <si>
    <t>BL Bethel</t>
  </si>
  <si>
    <t>KVINSLAND STENER R &amp; MARGARET</t>
  </si>
  <si>
    <t>2023EX05606</t>
  </si>
  <si>
    <t>4062-005-001-0005</t>
  </si>
  <si>
    <t>Day Spa Massage</t>
  </si>
  <si>
    <t>AYERS HOLDINGS INC</t>
  </si>
  <si>
    <t>BROZ MICHAEL</t>
  </si>
  <si>
    <t>2023EX05618</t>
  </si>
  <si>
    <t>092501-3-027-2000</t>
  </si>
  <si>
    <t>SFR zoned Commercial</t>
  </si>
  <si>
    <t>JOHNSON MICHAEL J</t>
  </si>
  <si>
    <t>2023EX05619</t>
  </si>
  <si>
    <t>4046-001-001-0005</t>
  </si>
  <si>
    <t>Fourplex - Kendall</t>
  </si>
  <si>
    <t>HAMANN WHITNEY ANNETTE TRUSTEE</t>
  </si>
  <si>
    <t>SAVAGE CHRIS &amp; PAULINE</t>
  </si>
  <si>
    <t>2023EX05624</t>
  </si>
  <si>
    <t>082501-1-007-2009</t>
  </si>
  <si>
    <t>SFR zoned Coml on Clear Creek</t>
  </si>
  <si>
    <t>KITSAP INVESTMENTS LLC</t>
  </si>
  <si>
    <t>2023EX05667</t>
  </si>
  <si>
    <t>3784-002-004-0008</t>
  </si>
  <si>
    <t>Triplex McKenzie</t>
  </si>
  <si>
    <t>HENKEL TIM</t>
  </si>
  <si>
    <t>DANIELS LAWRENCE C &amp; HATCH CATHERINE</t>
  </si>
  <si>
    <t>2023EX05716</t>
  </si>
  <si>
    <t>3718-017-011-0008</t>
  </si>
  <si>
    <t>apartments 5th Street</t>
  </si>
  <si>
    <t>AXTON APARTMENTS LLC</t>
  </si>
  <si>
    <t>THE ARC OF THE PENINSULAS</t>
  </si>
  <si>
    <t>2023EX05797</t>
  </si>
  <si>
    <t xml:space="preserve">911- Common area              </t>
  </si>
  <si>
    <t>222702-3-036-2009</t>
  </si>
  <si>
    <t>Bio-swale</t>
  </si>
  <si>
    <t>SAFEWAY REALTY LLC</t>
  </si>
  <si>
    <t>2023EX05823</t>
  </si>
  <si>
    <t>092501-2-006-2007</t>
  </si>
  <si>
    <t>PARKS CAITLIN E</t>
  </si>
  <si>
    <t>2023EX05948</t>
  </si>
  <si>
    <t>332402-2-010-2001</t>
  </si>
  <si>
    <t>Woodside Animal Hospital</t>
  </si>
  <si>
    <t>VAN HORN MICHAEL DVM &amp; VAN HOR</t>
  </si>
  <si>
    <t>SCHLUETER ANNE M</t>
  </si>
  <si>
    <t>2023EX06100</t>
  </si>
  <si>
    <t>232501-1-064-2000</t>
  </si>
  <si>
    <t>BL Hwy 303 @ Brownsville Hwy light</t>
  </si>
  <si>
    <t>THE ROCKIN RS LLC</t>
  </si>
  <si>
    <t>HADDOCK RYAN MICHAEL &amp; COLBY TREVOR</t>
  </si>
  <si>
    <t>2023EX06125</t>
  </si>
  <si>
    <t>BROWN ALEXANDRA</t>
  </si>
  <si>
    <t>2023EX06147</t>
  </si>
  <si>
    <t>FRONTIER EXCHANGE LANDLORD GRO</t>
  </si>
  <si>
    <t>LAUREL GLEN ALC LLC</t>
  </si>
  <si>
    <t>2023EX06162</t>
  </si>
  <si>
    <t>3718-017-026-0001</t>
  </si>
  <si>
    <t>827 6th Street Apartments</t>
  </si>
  <si>
    <t>MOORE PENNY K</t>
  </si>
  <si>
    <t>2023EX06185</t>
  </si>
  <si>
    <t>172501-1-074-2006</t>
  </si>
  <si>
    <t>The Trails</t>
  </si>
  <si>
    <t>SILVERDALE CENTERCAL OWNER LLC</t>
  </si>
  <si>
    <t>SILVERDALE PROPERTY OWNER LLC</t>
  </si>
  <si>
    <t>2023EX06270</t>
  </si>
  <si>
    <t>252501-3-082-2002</t>
  </si>
  <si>
    <t>MILE HILL INVESTORS LLC</t>
  </si>
  <si>
    <t>DUA VIJAY K &amp; ARUNA CO-TRUSTEES</t>
  </si>
  <si>
    <t>2023EX06282</t>
  </si>
  <si>
    <t>142601-4-067-2001</t>
  </si>
  <si>
    <t>Indigo Urgent Care/Occupational Med</t>
  </si>
  <si>
    <t>LIBERTY BAY ROLLERS LLC &amp;</t>
  </si>
  <si>
    <t>YONDON LLC</t>
  </si>
  <si>
    <t>2023EX06341</t>
  </si>
  <si>
    <t>3797-023-003-0000</t>
  </si>
  <si>
    <t>former Bethany Mission</t>
  </si>
  <si>
    <t>BETHANY MISSION INCORPORATED</t>
  </si>
  <si>
    <t>2023EX06354</t>
  </si>
  <si>
    <t>232601-1-028-2004</t>
  </si>
  <si>
    <t>Multi tenant office/retail spaces</t>
  </si>
  <si>
    <t>HOSTMARK LLC</t>
  </si>
  <si>
    <t>NEW LIFE CHURCH ON THE PENINSULA</t>
  </si>
  <si>
    <t>2023EX06355</t>
  </si>
  <si>
    <t>142501-3-021-2009</t>
  </si>
  <si>
    <t>Veterinarian on Central Valley Rd</t>
  </si>
  <si>
    <t>LAVG WATERS LLC</t>
  </si>
  <si>
    <t>R V PROPERTIES LLC</t>
  </si>
  <si>
    <t>2023EX06506</t>
  </si>
  <si>
    <t>202501-1-163-2003</t>
  </si>
  <si>
    <t>Office - Linder Way</t>
  </si>
  <si>
    <t>MEMOVICH GREG S &amp; FUSCO KAREN</t>
  </si>
  <si>
    <t>GULATI REAL ESTATE LLC</t>
  </si>
  <si>
    <t>2023EX06517</t>
  </si>
  <si>
    <t>312402-1-008-2009</t>
  </si>
  <si>
    <t>BL Mile Hill Dr. W of Baby Doll Rd.</t>
  </si>
  <si>
    <t>RIO ROY SANTOS &amp; RIO CHONG TOK</t>
  </si>
  <si>
    <t>KVINSLAND LARS</t>
  </si>
  <si>
    <t>2023EX06542</t>
  </si>
  <si>
    <t>022301-2-134-2001</t>
  </si>
  <si>
    <t>Fourplex Fronts Lippert</t>
  </si>
  <si>
    <t>HUNT RICHARD S</t>
  </si>
  <si>
    <t>LEGACY PROPERTY PARTNERS LLC</t>
  </si>
  <si>
    <t>2023EX06620</t>
  </si>
  <si>
    <t>8103-000-012-0005</t>
  </si>
  <si>
    <t>T-Hangar Unit 12</t>
  </si>
  <si>
    <t>OBRIEN TERENCE &amp; RONDA RUDERMA</t>
  </si>
  <si>
    <t>TURPEN KENNETH P</t>
  </si>
  <si>
    <t>2023EX06678</t>
  </si>
  <si>
    <t xml:space="preserve">880- Forest land              </t>
  </si>
  <si>
    <t>222301-2-025-1001</t>
  </si>
  <si>
    <t>DFL Lake Flora zoned Mixed Employment</t>
  </si>
  <si>
    <t xml:space="preserve">BR--ME Mixed Employment       </t>
  </si>
  <si>
    <t>2023EX06725</t>
  </si>
  <si>
    <t>222702-3-039-2006</t>
  </si>
  <si>
    <t>Lot A Kingston Business Park</t>
  </si>
  <si>
    <t>LASSER RICHARD A TRUSTEE</t>
  </si>
  <si>
    <t>GARY INVESTMENTS LLC</t>
  </si>
  <si>
    <t>2023EX06741</t>
  </si>
  <si>
    <t>082501-1-006-2000</t>
  </si>
  <si>
    <t>Clear Creek Community Club</t>
  </si>
  <si>
    <t>CLEAR CREEK COMMUNITY CLUB</t>
  </si>
  <si>
    <t>2023EX06801</t>
  </si>
  <si>
    <t>082401-4-071-2005</t>
  </si>
  <si>
    <t>Grearer Pe</t>
  </si>
  <si>
    <t>SAFARI PROPERTY MGMT LLC</t>
  </si>
  <si>
    <t>GREAT PENINSULA CONSERVANCY</t>
  </si>
  <si>
    <t>2023EX06866</t>
  </si>
  <si>
    <t>202501-1-184-2008</t>
  </si>
  <si>
    <t>Old Silverdale Fire Station</t>
  </si>
  <si>
    <t>OLYMPIC HOLDINGS - 9191 LLC</t>
  </si>
  <si>
    <t>2023EX06885</t>
  </si>
  <si>
    <t>8070-005-009-0008</t>
  </si>
  <si>
    <t>2023EX06933</t>
  </si>
  <si>
    <t>082501-1-002-2004</t>
  </si>
  <si>
    <t>Clear Creek Baptist Church</t>
  </si>
  <si>
    <t>CLEAR CREEK BAPTIST CHURCH &amp; T</t>
  </si>
  <si>
    <t>2023EX06944</t>
  </si>
  <si>
    <t>5491-000-001-0004</t>
  </si>
  <si>
    <t>BL - PO Ind Park - Div 2 Lot 1</t>
  </si>
  <si>
    <t>PORT ORCHARD INDUSTRIAL PARK L</t>
  </si>
  <si>
    <t>ROSEMARK COMMERCIAL LLC</t>
  </si>
  <si>
    <t>2023EX06968</t>
  </si>
  <si>
    <t>4230-002-014-0103</t>
  </si>
  <si>
    <t>Cornerstone Home Lending</t>
  </si>
  <si>
    <t>R &amp; B MCKENZIE HOLDINGS LLC</t>
  </si>
  <si>
    <t>MASON KYMBERLY</t>
  </si>
  <si>
    <t>2023EX07036</t>
  </si>
  <si>
    <t>3734-010-012-0002</t>
  </si>
  <si>
    <t>Wells Fargo - Sixth</t>
  </si>
  <si>
    <t>KHAIRA JATINDER &amp; KAUR RANJIT</t>
  </si>
  <si>
    <t>2023EX07050</t>
  </si>
  <si>
    <t>192501-2-019-2000</t>
  </si>
  <si>
    <t>Warehouse &amp; Conv MH Warehouse Way</t>
  </si>
  <si>
    <t>PENWELL CLYDE W &amp; ARLENE C</t>
  </si>
  <si>
    <t>WAREHOUSE WAY LLC</t>
  </si>
  <si>
    <t>2023EX07130</t>
  </si>
  <si>
    <t>172501-4-087-2005</t>
  </si>
  <si>
    <t>Bucklin Hill W - C</t>
  </si>
  <si>
    <t>WAVE HOUSE LLC</t>
  </si>
  <si>
    <t>JWJ GROUP LLC</t>
  </si>
  <si>
    <t>2023EX07131</t>
  </si>
  <si>
    <t>DEUTSCHE BANK NATIONAL TRUST C</t>
  </si>
  <si>
    <t>AWAN ANIKAH KHAN</t>
  </si>
  <si>
    <t>2023EX07217</t>
  </si>
  <si>
    <t>092501-3-011-2008</t>
  </si>
  <si>
    <t>BL zoned Commercial Clear Creek</t>
  </si>
  <si>
    <t>MERKEL JOYCE A</t>
  </si>
  <si>
    <t>2023EX07274</t>
  </si>
  <si>
    <t>262702-1-086-2008</t>
  </si>
  <si>
    <t>Office on Hwy 104</t>
  </si>
  <si>
    <t>KINGSTON FINANCIAL CENTER LLC</t>
  </si>
  <si>
    <t>2023EX07283</t>
  </si>
  <si>
    <t>3972-000-001-0700</t>
  </si>
  <si>
    <t>Warehse E of Flower To Go Wheaton Wy</t>
  </si>
  <si>
    <t>GROSS WILLIAM T &amp; GROSS RISE F</t>
  </si>
  <si>
    <t>GROSS WILLIAM RICHARD</t>
  </si>
  <si>
    <t>2023EX07284</t>
  </si>
  <si>
    <t>3972-000-001-0601</t>
  </si>
  <si>
    <t>Flowers To Go - Wheaton Way</t>
  </si>
  <si>
    <t>2023EX07285</t>
  </si>
  <si>
    <t>4031-008-006-0002</t>
  </si>
  <si>
    <t>Flowers to Go</t>
  </si>
  <si>
    <t>2024EX00003</t>
  </si>
  <si>
    <t>062602-3-014-2006</t>
  </si>
  <si>
    <t>Auto Body, &amp; Repair Shop Iverson Rd</t>
  </si>
  <si>
    <t>BALL BAREY C &amp; JOHN E</t>
  </si>
  <si>
    <t>THE ORCHID TRUST</t>
  </si>
  <si>
    <t>2024EX00065</t>
  </si>
  <si>
    <t>4787-000-015-0004</t>
  </si>
  <si>
    <t>Southworth Grocery &amp; Post Office</t>
  </si>
  <si>
    <t>GREENLAND INDUSTRIES LLC</t>
  </si>
  <si>
    <t>SINGH SARBJEET &amp; BEDI JAGDESH SINGH</t>
  </si>
  <si>
    <t>2024EX00089</t>
  </si>
  <si>
    <t>8056-002-028-0000</t>
  </si>
  <si>
    <t>WW B-28 36LF</t>
  </si>
  <si>
    <t>CAMPBELL THOMAS &amp; SUSAN</t>
  </si>
  <si>
    <t>GREEN JEFFREY &amp; MACAULSO JENNIFER</t>
  </si>
  <si>
    <t>2024EX00103</t>
  </si>
  <si>
    <t>8067-000-001-0002</t>
  </si>
  <si>
    <t>Medallion Bldg Unit A</t>
  </si>
  <si>
    <t>SCHAEFER JO Y &amp; GEORGE C &amp; SIN</t>
  </si>
  <si>
    <t>VADIS</t>
  </si>
  <si>
    <t>2024EX00182</t>
  </si>
  <si>
    <t>ROGERS THOMAS J &amp; CATHERINE W</t>
  </si>
  <si>
    <t>OLYMPUS LEASING LLC</t>
  </si>
  <si>
    <t>2024EX00183</t>
  </si>
  <si>
    <t>8141-012-007-0001</t>
  </si>
  <si>
    <t>T-Hangar B12-7</t>
  </si>
  <si>
    <t>SANFORD WILLIAM M &amp; KATHLEEN D</t>
  </si>
  <si>
    <t>2024EX00222</t>
  </si>
  <si>
    <t>8056-004-004-0004</t>
  </si>
  <si>
    <t>WW D-4 40LF</t>
  </si>
  <si>
    <t>CROKER THOMAS R &amp; LUANNE</t>
  </si>
  <si>
    <t>FLAMM RICHARD C &amp; SOMERS VESNA T</t>
  </si>
  <si>
    <t>2024EX00239</t>
  </si>
  <si>
    <t>WAGNER MATTHEW JOHN &amp; ELIANA</t>
  </si>
  <si>
    <t>2024EX00317</t>
  </si>
  <si>
    <t>3806-004-028-0000</t>
  </si>
  <si>
    <t>HEMMINGSON GAVIN D</t>
  </si>
  <si>
    <t>BURKE LIANA</t>
  </si>
  <si>
    <t>2024EX00443</t>
  </si>
  <si>
    <t>4516-003-053-0108</t>
  </si>
  <si>
    <t>Port Orchard Auto Body-Colchester</t>
  </si>
  <si>
    <t xml:space="preserve">CO--MVLR                      </t>
  </si>
  <si>
    <t>LATHAM JANET</t>
  </si>
  <si>
    <t>PMUR LLC</t>
  </si>
  <si>
    <t>2024EX00458</t>
  </si>
  <si>
    <t>202501-1-076-2009</t>
  </si>
  <si>
    <t>Cook Office Bldg</t>
  </si>
  <si>
    <t>COOK LORRAINE TRUSTEE</t>
  </si>
  <si>
    <t>3500 ANDERSON LLC</t>
  </si>
  <si>
    <t>2024EX00480</t>
  </si>
  <si>
    <t>5491-000-002-0003</t>
  </si>
  <si>
    <t>BL - PO Ind Park - Div 2 Lot 2</t>
  </si>
  <si>
    <t>SOURCE ELECTRIC LLC</t>
  </si>
  <si>
    <t>2024EX00489</t>
  </si>
  <si>
    <t>3718-006-033-0104</t>
  </si>
  <si>
    <t>5th St Office bldg &amp; Parking at east</t>
  </si>
  <si>
    <t>FIFTH STREET HILLTOP PARTNERS</t>
  </si>
  <si>
    <t>EMERALD PNW LLC</t>
  </si>
  <si>
    <t>2024EX00607</t>
  </si>
  <si>
    <t>ABC GROUP LLC</t>
  </si>
  <si>
    <t>2024EX00733</t>
  </si>
  <si>
    <t>5522-000-001-0007</t>
  </si>
  <si>
    <t>Wedgewood Apts- East half 4410</t>
  </si>
  <si>
    <t>4410 WEDGEWOOD LLC</t>
  </si>
  <si>
    <t>KARAAGAOGLU KEMAL ONUR &amp; DINH CRYSTA</t>
  </si>
  <si>
    <t>2024EX00781</t>
  </si>
  <si>
    <t>4366-002-001-0203</t>
  </si>
  <si>
    <t>Keyport Convenience Store</t>
  </si>
  <si>
    <t>BRINKMAN WILLIAM K</t>
  </si>
  <si>
    <t>LARIOS NOE &amp; HERNANDEZ DALIA</t>
  </si>
  <si>
    <t>2024EX00833</t>
  </si>
  <si>
    <t>8103-000-022-0003</t>
  </si>
  <si>
    <t>T-Hangar Unit 22</t>
  </si>
  <si>
    <t>WOYSHNIS KYLE &amp; BUTCHER  BROOKE M</t>
  </si>
  <si>
    <t>2024EX00863</t>
  </si>
  <si>
    <t>8171-016-004-0008</t>
  </si>
  <si>
    <t>Kitsap Hangar Leasehold Condo B16-4</t>
  </si>
  <si>
    <t>PRICE DONNA IRENN TRUSTEE</t>
  </si>
  <si>
    <t>SANFORD WILLIAM M &amp; KATHLEEN D TRUST</t>
  </si>
  <si>
    <t>2024EX00865</t>
  </si>
  <si>
    <t>ISAIS FELIPE &amp; CASAS SOFIA</t>
  </si>
  <si>
    <t>2024EX00886</t>
  </si>
  <si>
    <t>4062-004-006-0003</t>
  </si>
  <si>
    <t>BL-steep Bethel</t>
  </si>
  <si>
    <t>SL HOME SOLUTIONS LLC</t>
  </si>
  <si>
    <t>2024EX00980</t>
  </si>
  <si>
    <t>342401-4-006-2003</t>
  </si>
  <si>
    <t>SFR Tremont</t>
  </si>
  <si>
    <t>JOHNSON DOUGLAS F &amp; PEGGY K &amp;</t>
  </si>
  <si>
    <t>CARE NET PREGNANCY &amp; FAMLY SERVICES</t>
  </si>
  <si>
    <t>2024EX00989</t>
  </si>
  <si>
    <t>102601-1-032-2003</t>
  </si>
  <si>
    <t>Lot 5M  BL - College Marketplace</t>
  </si>
  <si>
    <t>MACKINAW INVESTMENTS WA LLC</t>
  </si>
  <si>
    <t>2024EX01054</t>
  </si>
  <si>
    <t>3913-021-001-0005</t>
  </si>
  <si>
    <t>Apollo Apartments</t>
  </si>
  <si>
    <t>ECHEVERRI BERNARD A &amp; URSULA M</t>
  </si>
  <si>
    <t>DANIELS LAWRENCE C &amp; CATHERINE A HAT</t>
  </si>
  <si>
    <t>2024EX01057</t>
  </si>
  <si>
    <t>4575-000-019-0105</t>
  </si>
  <si>
    <t>A &amp; B Barber Shop</t>
  </si>
  <si>
    <t>QUINONES JOSEPH BRAULIO</t>
  </si>
  <si>
    <t>2024EX01079</t>
  </si>
  <si>
    <t>8056-003-001-0009</t>
  </si>
  <si>
    <t>WW C-1 36LF</t>
  </si>
  <si>
    <t>2024EX01081</t>
  </si>
  <si>
    <t>NO.L PROPERTIES LLC</t>
  </si>
  <si>
    <t>2024EX01101</t>
  </si>
  <si>
    <t>8061-002-001-0004</t>
  </si>
  <si>
    <t>Winslow Green #2F</t>
  </si>
  <si>
    <t>MOUNT BAKER SUNRISE LLC</t>
  </si>
  <si>
    <t>TROKA KRISTIN &amp; HANSEN WILLIAM</t>
  </si>
  <si>
    <t>2024EX01296</t>
  </si>
  <si>
    <t>COULTER KEVIN &amp; CHRISTINE L STEPPER</t>
  </si>
  <si>
    <t>2024EX01395</t>
  </si>
  <si>
    <t>3733-007-029-0000</t>
  </si>
  <si>
    <t>Ruby Berlin</t>
  </si>
  <si>
    <t>HOFFMAN GEORGE W &amp; MARY ANN</t>
  </si>
  <si>
    <t>CALNAN TIMOTHY G &amp; LISA D</t>
  </si>
  <si>
    <t>2024EX01512</t>
  </si>
  <si>
    <t>3785-001-005-0008</t>
  </si>
  <si>
    <t>1215 Gregory Way Apartments</t>
  </si>
  <si>
    <t>PHILLIP APARTMENTS LLC</t>
  </si>
  <si>
    <t>REI LACEY LLC</t>
  </si>
  <si>
    <t>2024EX01552</t>
  </si>
  <si>
    <t>8070-001-027-0005</t>
  </si>
  <si>
    <t>ROSENDALE WARREN</t>
  </si>
  <si>
    <t>2024EX01575</t>
  </si>
  <si>
    <t>152401-3-036-2002</t>
  </si>
  <si>
    <t>9 Units fronting National</t>
  </si>
  <si>
    <t>EAGLE INTERNATIONAL HOLDING LL</t>
  </si>
  <si>
    <t>NATIONAL 108 LLC</t>
  </si>
  <si>
    <t>2024EX01669</t>
  </si>
  <si>
    <t>ADNAN LLC</t>
  </si>
  <si>
    <t>2024EX01674</t>
  </si>
  <si>
    <t>3966-003-001-1106</t>
  </si>
  <si>
    <t>Olympic Diagnostic Radiology Facilit</t>
  </si>
  <si>
    <t>BROADSTONE HMC WASHINGTON LLC</t>
  </si>
  <si>
    <t>BREMERTON 2700 MP RK6 LLC</t>
  </si>
  <si>
    <t>2024EX01702</t>
  </si>
  <si>
    <t>THE INCREDIBLES HOLDINGS 1 LLC</t>
  </si>
  <si>
    <t>2024EX01715</t>
  </si>
  <si>
    <t xml:space="preserve">940- CU Open Space            </t>
  </si>
  <si>
    <t xml:space="preserve">Green Mtn-COM                 </t>
  </si>
  <si>
    <t>072401-2-022-2000</t>
  </si>
  <si>
    <t xml:space="preserve">CO--RW                        </t>
  </si>
  <si>
    <t>KETA LEGACY FOUNDATION</t>
  </si>
  <si>
    <t>THE MOUNTAINEERS</t>
  </si>
  <si>
    <t>2024EX02033</t>
  </si>
  <si>
    <t>BA INVESTMENTS LLC</t>
  </si>
  <si>
    <t>2024EX02040</t>
  </si>
  <si>
    <t>202501-1-164-2002</t>
  </si>
  <si>
    <t>Law offices on Linder Way</t>
  </si>
  <si>
    <t>FATDOG INVESTMENTS</t>
  </si>
  <si>
    <t>IUOE LOCAL 302 BUILDING ASSOCIATION</t>
  </si>
  <si>
    <t>2024EX02115</t>
  </si>
  <si>
    <t>4607-001-012-0003</t>
  </si>
  <si>
    <t>SFR W Side Hwy 3</t>
  </si>
  <si>
    <t>NEWTON LORI LEE</t>
  </si>
  <si>
    <t>GAHAN VERNA</t>
  </si>
  <si>
    <t>2024EX02125</t>
  </si>
  <si>
    <t>3783-001-014-0009</t>
  </si>
  <si>
    <t>Westgate Building</t>
  </si>
  <si>
    <t>WESTGATE PLAZA LLC</t>
  </si>
  <si>
    <t>HARRIS CAPITAL INVESTMENTS LLC</t>
  </si>
  <si>
    <t>2024EX02142</t>
  </si>
  <si>
    <t>THE JWJ GROUP LLC</t>
  </si>
  <si>
    <t>2024EX02188</t>
  </si>
  <si>
    <t>1303 ELIZABETH LLC</t>
  </si>
  <si>
    <t>2024EX02197</t>
  </si>
  <si>
    <t>252401-4-068-2009</t>
  </si>
  <si>
    <t>EPO Offices / Original Thai Taste</t>
  </si>
  <si>
    <t>SILVERZ LLC</t>
  </si>
  <si>
    <t>2024EX02206</t>
  </si>
  <si>
    <t>362501-3-071-2002</t>
  </si>
  <si>
    <t>LaCosta Restaurant Hwy 303</t>
  </si>
  <si>
    <t>BOILEAU PROPERTIES AZTECA LLC</t>
  </si>
  <si>
    <t>PIONEER REAL ESTATE HOLDING BREMERTO</t>
  </si>
  <si>
    <t>2024EX02210</t>
  </si>
  <si>
    <t>2024EX02219</t>
  </si>
  <si>
    <t>242301-3-038-2000</t>
  </si>
  <si>
    <t>Mullinex CSWG</t>
  </si>
  <si>
    <t>SHERRARD PROPERTIES LLC</t>
  </si>
  <si>
    <t>MULLENIX MARKET LLC</t>
  </si>
  <si>
    <t>2024EX02235</t>
  </si>
  <si>
    <t>222401-2-066-2008</t>
  </si>
  <si>
    <t>400 National - Warehouse</t>
  </si>
  <si>
    <t>BACCHUS BROTHERS LLC</t>
  </si>
  <si>
    <t>2024EX02261</t>
  </si>
  <si>
    <t>3968-003-007-0001</t>
  </si>
  <si>
    <t>4-Plex @ 1142 Magnuson Way</t>
  </si>
  <si>
    <t>CHIVINGTON CHRISTOPHER A &amp; FOU</t>
  </si>
  <si>
    <t>THOMPSON JACE AUBREY &amp; BOTTOMS BENTO</t>
  </si>
  <si>
    <t>2024EX02344</t>
  </si>
  <si>
    <t>282401-3-068-2008</t>
  </si>
  <si>
    <t>Kitsap Reclamation &amp; Materials</t>
  </si>
  <si>
    <t>KRM REAL PROPERTY INVESTMENTS</t>
  </si>
  <si>
    <t>2024EX02482</t>
  </si>
  <si>
    <t>142601-4-066-2002</t>
  </si>
  <si>
    <t>O'Reilly Auto Parts</t>
  </si>
  <si>
    <t>WYMAN YOUTH TRUST</t>
  </si>
  <si>
    <t>10TH AVE MAGOO LLC</t>
  </si>
  <si>
    <t>2024EX02495</t>
  </si>
  <si>
    <t>162501-1-052-2003</t>
  </si>
  <si>
    <t>Lowes - Silverdale</t>
  </si>
  <si>
    <t>BROADWAY TENTH/SILVERDALE LLC</t>
  </si>
  <si>
    <t>TOMCHI GROUP NV 2221 LLC</t>
  </si>
  <si>
    <t>2024EX02591</t>
  </si>
  <si>
    <t>202502-1-077-2007</t>
  </si>
  <si>
    <t>Island Center Auto</t>
  </si>
  <si>
    <t>IRVEN JOHN J JR &amp; NANCY E</t>
  </si>
  <si>
    <t>ISLAND CENTER PROPERTY MANAGEMENT LL</t>
  </si>
  <si>
    <t>2024EX02641</t>
  </si>
  <si>
    <t xml:space="preserve">Central Bainbridge-COM        </t>
  </si>
  <si>
    <t>4178-000-003-0104</t>
  </si>
  <si>
    <t>Greenlight Auto Repair</t>
  </si>
  <si>
    <t>ALLEN THOMAS S ESTATE &amp; ALISON</t>
  </si>
  <si>
    <t>CITY OF BAINBRIDGE ISLAND</t>
  </si>
  <si>
    <t>2024EX02642</t>
  </si>
  <si>
    <t>2024EX02643</t>
  </si>
  <si>
    <t>Bainbridge Eagle Harbor WF-COM</t>
  </si>
  <si>
    <t>4178-000-003-0203</t>
  </si>
  <si>
    <t>Garage &amp; storage yard</t>
  </si>
  <si>
    <t>2024EX02722</t>
  </si>
  <si>
    <t>KIM AND TONY PROPERTIES LLC</t>
  </si>
  <si>
    <t>2024EX02760</t>
  </si>
  <si>
    <t>352501-4-042-2007</t>
  </si>
  <si>
    <t>Westbay Auto Parts</t>
  </si>
  <si>
    <t>WESTBAY BREMERTON LLC</t>
  </si>
  <si>
    <t>5299 WA-303 LLC</t>
  </si>
  <si>
    <t>2024EX02795</t>
  </si>
  <si>
    <t xml:space="preserve">Lofall-COM                    </t>
  </si>
  <si>
    <t>262701-2-019-2009</t>
  </si>
  <si>
    <t>Zimmer Construction/Shine Quarry</t>
  </si>
  <si>
    <t>JJCT PROPERTIES LLC &amp; DUKES IN</t>
  </si>
  <si>
    <t>CRANE SAND HOLDINGS LLC</t>
  </si>
  <si>
    <t>2024EX02874</t>
  </si>
  <si>
    <t xml:space="preserve">744- Marina                   </t>
  </si>
  <si>
    <t xml:space="preserve">Seabeck WF-COM                </t>
  </si>
  <si>
    <t>202501-4-003-1003</t>
  </si>
  <si>
    <t>Seabeck Marina &amp; Pizza</t>
  </si>
  <si>
    <t>OLYMPIC VIEW MARINA LLC</t>
  </si>
  <si>
    <t>MARTIN PROPERTIES 1 LLC</t>
  </si>
  <si>
    <t>2024EX02921</t>
  </si>
  <si>
    <t>172501-2-001-2002</t>
  </si>
  <si>
    <t>BL on Old Frontier</t>
  </si>
  <si>
    <t>TIM RYAN PROPERTIES LP</t>
  </si>
  <si>
    <t>PROJECT S48 LLC</t>
  </si>
  <si>
    <t>2024EX03068</t>
  </si>
  <si>
    <t>8191-000-208-0002</t>
  </si>
  <si>
    <t>Unit 208</t>
  </si>
  <si>
    <t>HALB PROPERTIES LLC</t>
  </si>
  <si>
    <t>PHELPS NATALIE &amp; WORD JEFFREY</t>
  </si>
  <si>
    <t>2024EX03074</t>
  </si>
  <si>
    <t>162501-2-014-2008</t>
  </si>
  <si>
    <t>CSWG &amp; Retail</t>
  </si>
  <si>
    <t>LECAVE LEON BASIL &amp; KATHLEEN T</t>
  </si>
  <si>
    <t>2024EX03145</t>
  </si>
  <si>
    <t>172501-4-037-2006</t>
  </si>
  <si>
    <t>Allstate Insurance - Silverdale</t>
  </si>
  <si>
    <t>SCHARF ROBERT &amp; LAURA</t>
  </si>
  <si>
    <t>LIGGETT SHELLEE A</t>
  </si>
  <si>
    <t>2024EX03210</t>
  </si>
  <si>
    <t>132401-3-065-2008</t>
  </si>
  <si>
    <t>Retail 614 Pacific Ave</t>
  </si>
  <si>
    <t>NAVARRO REINELDA M</t>
  </si>
  <si>
    <t>2024EX03259</t>
  </si>
  <si>
    <t>5491-000-003-0002</t>
  </si>
  <si>
    <t>BL - PO Ind Park - Div 2 Lot 3</t>
  </si>
  <si>
    <t>2018 COOPER FAMILY LLC</t>
  </si>
  <si>
    <t>2024EX03304</t>
  </si>
  <si>
    <t>5597-000-001-0007</t>
  </si>
  <si>
    <t>Carl's Jr Fast Food</t>
  </si>
  <si>
    <t xml:space="preserve">BR--BVVC BayVistaVillageComml </t>
  </si>
  <si>
    <t>BREMERTON PROPERTY LLC</t>
  </si>
  <si>
    <t>BG HARBOR LLC</t>
  </si>
  <si>
    <t>2024EX03325</t>
  </si>
  <si>
    <t>4227-000-003-0006</t>
  </si>
  <si>
    <t>Bad Blanche Antiques</t>
  </si>
  <si>
    <t>KING TIDE PROPERTIES LLC</t>
  </si>
  <si>
    <t>2024EX03331</t>
  </si>
  <si>
    <t>8056-002-005-0007</t>
  </si>
  <si>
    <t>WW B-5 28LF</t>
  </si>
  <si>
    <t>SAMEK PAMELA R</t>
  </si>
  <si>
    <t>JONES MICHAEL THOMAS &amp; JONES PAMELA</t>
  </si>
  <si>
    <t>2024EX03403</t>
  </si>
  <si>
    <t>HIDODO LLC</t>
  </si>
  <si>
    <t>2024EX03610</t>
  </si>
  <si>
    <t>312402-1-069-2005</t>
  </si>
  <si>
    <t>Janaszak Dental Office Mile Hill</t>
  </si>
  <si>
    <t>JEJ PROPERTIES LLC</t>
  </si>
  <si>
    <t>SHOOP DANIEL RYAN &amp; ALISON ANNE</t>
  </si>
  <si>
    <t>2024EX03619</t>
  </si>
  <si>
    <t>3718-021-013-0008</t>
  </si>
  <si>
    <t>Milan Apts and garage spaces</t>
  </si>
  <si>
    <t>BURWELL PROPERTIES LLC</t>
  </si>
  <si>
    <t>BPM5 LLC</t>
  </si>
  <si>
    <t>2024EX03634</t>
  </si>
  <si>
    <t>312402-4-001-2000</t>
  </si>
  <si>
    <t>Orchard Park Apts</t>
  </si>
  <si>
    <t>HARPER PROPERTY MGMT &amp; MAINTEN</t>
  </si>
  <si>
    <t>11923 1ST AVE S LLC</t>
  </si>
  <si>
    <t>2024EX03723</t>
  </si>
  <si>
    <t>3732-026-001-0003</t>
  </si>
  <si>
    <t>4-Plex @ 2915 Porter Street</t>
  </si>
  <si>
    <t>AUSTIN KENNETH E &amp; JUDITH L &amp;</t>
  </si>
  <si>
    <t>2024EX03740</t>
  </si>
  <si>
    <t>8070-002-016-0006</t>
  </si>
  <si>
    <t>RILEY PETER SUNESON TRUSTEE</t>
  </si>
  <si>
    <t>HEINLEIN CHRISTOPHER E</t>
  </si>
  <si>
    <t>2024EX03834</t>
  </si>
  <si>
    <t>TILTON DAVID</t>
  </si>
  <si>
    <t>2024EX03847</t>
  </si>
  <si>
    <t>DODGE MARIANNE &amp; LEONARD DAVID</t>
  </si>
  <si>
    <t>WEINBERG ELISHA &amp; MCGARRITY JOHN</t>
  </si>
  <si>
    <t>2024EX03895</t>
  </si>
  <si>
    <t>262502-3-025-2000</t>
  </si>
  <si>
    <t>Bjune retail store</t>
  </si>
  <si>
    <t>BCLUNE PROPERTY LLC</t>
  </si>
  <si>
    <t>BJUNE BOX LLC</t>
  </si>
  <si>
    <t>2024EX03948</t>
  </si>
  <si>
    <t>3718-006-003-0001</t>
  </si>
  <si>
    <t xml:space="preserve">4th St - Retail/Office </t>
  </si>
  <si>
    <t>KAULFUSS KENT &amp; GAIL TRUSTEES</t>
  </si>
  <si>
    <t>286 BUILDING LLC</t>
  </si>
  <si>
    <t>2024EX03993</t>
  </si>
  <si>
    <t>132301-2-007-2002</t>
  </si>
  <si>
    <t>lot w/power, shared well, old septic</t>
  </si>
  <si>
    <t>EMANS FRERIC W TRUSTEE</t>
  </si>
  <si>
    <t>JORDAN ROBERT</t>
  </si>
  <si>
    <t>2024EX04251</t>
  </si>
  <si>
    <t>8070-001-018-0006</t>
  </si>
  <si>
    <t>FRANZ KARL D &amp; MARCIA K</t>
  </si>
  <si>
    <t>LINK DAVID H &amp; V JOURNAL CAMPBELL &amp;</t>
  </si>
  <si>
    <t>2024EX04258</t>
  </si>
  <si>
    <t>292702-3-091-2004</t>
  </si>
  <si>
    <t>Lot B Kennedy Industrial Park</t>
  </si>
  <si>
    <t>GERBER DALE ALLEN &amp; JOY KRISTB</t>
  </si>
  <si>
    <t>GAINES RICHARD J &amp; MARJORIE A</t>
  </si>
  <si>
    <t>2024EX04271</t>
  </si>
  <si>
    <t>4607-003-001-0002</t>
  </si>
  <si>
    <t>Warehouse off Hwy 3 (former HD Fowler)</t>
  </si>
  <si>
    <t>HD LEGACY LLC</t>
  </si>
  <si>
    <t>KRV NW LLC</t>
  </si>
  <si>
    <t>2024EX04298</t>
  </si>
  <si>
    <t>292702-1-055-2002</t>
  </si>
  <si>
    <t>Zimmer Industrial Park/ #89</t>
  </si>
  <si>
    <t>ZIMMER CARL W &amp; CATHERINE H</t>
  </si>
  <si>
    <t>UBERUAGA JEFFEREY M &amp; SHERI</t>
  </si>
  <si>
    <t>2024EX04398</t>
  </si>
  <si>
    <t>022301-4-119-2006</t>
  </si>
  <si>
    <t>Blueberry Apartments</t>
  </si>
  <si>
    <t>BLUEBERRY APARTMENTS QOZB LLC</t>
  </si>
  <si>
    <t>CITY OF PORT ORCHARD</t>
  </si>
  <si>
    <t>2024EX04518</t>
  </si>
  <si>
    <t>4625-000-002-0005</t>
  </si>
  <si>
    <t>BL West of Bethel</t>
  </si>
  <si>
    <t>12 TREES FEI LLC</t>
  </si>
  <si>
    <t>CHOI WANKYU &amp; HANA</t>
  </si>
  <si>
    <t>2024EX04570</t>
  </si>
  <si>
    <t>152401-3-118-2003</t>
  </si>
  <si>
    <t>Cedar View Apartments</t>
  </si>
  <si>
    <t>PELLA APARTMENTS LLC</t>
  </si>
  <si>
    <t>BOLIBA KIM</t>
  </si>
  <si>
    <t>2024EX04571</t>
  </si>
  <si>
    <t>352501-1-073-2005</t>
  </si>
  <si>
    <t>Retail Store and Service Garage</t>
  </si>
  <si>
    <t>KNOWLTON LLC</t>
  </si>
  <si>
    <t>WA TARIQ INVESTMENTS LLC</t>
  </si>
  <si>
    <t>2024EX04575</t>
  </si>
  <si>
    <t>8070-003-015-0005</t>
  </si>
  <si>
    <t>TARR GREGORY L &amp; LANA M</t>
  </si>
  <si>
    <t>HAWN ERIC J &amp; PAMELA S</t>
  </si>
  <si>
    <t>2024EX04653</t>
  </si>
  <si>
    <t>8056-005-035-0004</t>
  </si>
  <si>
    <t>WW M-35 24LF</t>
  </si>
  <si>
    <t>DOWN RACHEL W</t>
  </si>
  <si>
    <t>M35 LLC</t>
  </si>
  <si>
    <t>2024EX04694</t>
  </si>
  <si>
    <t>ATOM PROPERTIES LLC</t>
  </si>
  <si>
    <t>2024EX04732</t>
  </si>
  <si>
    <t>NORTH STAR TRUSTEE LLC</t>
  </si>
  <si>
    <t>39 TWOSEVEN LLC</t>
  </si>
  <si>
    <t>2024EX04733</t>
  </si>
  <si>
    <t>092501-2-025-2004</t>
  </si>
  <si>
    <t>BL zoned Commercial on Clear Creek</t>
  </si>
  <si>
    <t>SCHWARTZ BRET A</t>
  </si>
  <si>
    <t>2024EX04737</t>
  </si>
  <si>
    <t>SCHWARZ BRET A</t>
  </si>
  <si>
    <t>2024EX04837</t>
  </si>
  <si>
    <t>8070-002-027-0003</t>
  </si>
  <si>
    <t>RUTLEDGE JAMES &amp; KAREN</t>
  </si>
  <si>
    <t>SAUGEN JOHN DAVID</t>
  </si>
  <si>
    <t>2024EX04975</t>
  </si>
  <si>
    <t>5045-000-004-0101</t>
  </si>
  <si>
    <t>Meadowdale Professional Building</t>
  </si>
  <si>
    <t xml:space="preserve">CO--UR                        </t>
  </si>
  <si>
    <t>7500 CLUB INC</t>
  </si>
  <si>
    <t>MEADOWDALE PROFESSIONAL CENTER LLC</t>
  </si>
  <si>
    <t>2024EX04984</t>
  </si>
  <si>
    <t>322401-1-092-2006</t>
  </si>
  <si>
    <t>BL Corner Sherman Height and Hwy 16</t>
  </si>
  <si>
    <t>CAPPS DEAN</t>
  </si>
  <si>
    <t>DUKES PLUMBING SERVICES LLC</t>
  </si>
  <si>
    <t>2024EX05006</t>
  </si>
  <si>
    <t>8070-001-038-0002</t>
  </si>
  <si>
    <t>LOUX LINDA</t>
  </si>
  <si>
    <t>DINGELS JAMES &amp; DE ARTON KIMBERLY</t>
  </si>
  <si>
    <t>2024EX05213</t>
  </si>
  <si>
    <t>WELLE DENNIS &amp; REBECCA &amp;</t>
  </si>
  <si>
    <t>STREU ADAM</t>
  </si>
  <si>
    <t>2024EX05236</t>
  </si>
  <si>
    <t>5549-000-003-0004</t>
  </si>
  <si>
    <t>BL - Lot 3</t>
  </si>
  <si>
    <t>CHARLIE NW LLC</t>
  </si>
  <si>
    <t>2024EX05358</t>
  </si>
  <si>
    <t xml:space="preserve">593- Regional center          </t>
  </si>
  <si>
    <t>162501-3-100-2001</t>
  </si>
  <si>
    <t>Winco Silverdale</t>
  </si>
  <si>
    <t>RHINO HOLDINGS SILVERDALE LLC</t>
  </si>
  <si>
    <t>MROF I - SILVERDALE LLC</t>
  </si>
  <si>
    <t>2024EX05463</t>
  </si>
  <si>
    <t>8056-005-039-0000</t>
  </si>
  <si>
    <t>WW M-39 24LF</t>
  </si>
  <si>
    <t>SNAPP KRISTIN  TRUSTEE</t>
  </si>
  <si>
    <t>2024EX05491</t>
  </si>
  <si>
    <t>012401-2-200-2000</t>
  </si>
  <si>
    <t>Wendy's</t>
  </si>
  <si>
    <t>MAJ BREMERTON STATION LLC</t>
  </si>
  <si>
    <t>REISCH HOLDINGS LLC</t>
  </si>
  <si>
    <t>2024EX05550</t>
  </si>
  <si>
    <t>232601-1-133-2006</t>
  </si>
  <si>
    <t>Conv SFR - Hostmark Office</t>
  </si>
  <si>
    <t>DESK PROPERTIES LLC</t>
  </si>
  <si>
    <t>ROGERS JOYCE</t>
  </si>
  <si>
    <t>2024EX05618</t>
  </si>
  <si>
    <t>132501-3-042-2005</t>
  </si>
  <si>
    <t>Sweeny's Country Style Meats</t>
  </si>
  <si>
    <t>SWEENEY MARK P &amp; BARBARA</t>
  </si>
  <si>
    <t>AXOMULCO SAMANTHA</t>
  </si>
  <si>
    <t>2024EX05648</t>
  </si>
  <si>
    <t>362401-3-056-2002</t>
  </si>
  <si>
    <t>Cosmos Deli</t>
  </si>
  <si>
    <t>LORETTA INVESTMENTS LLC</t>
  </si>
  <si>
    <t>THREE STAR KISAN LLC</t>
  </si>
  <si>
    <t>2024EX05662</t>
  </si>
  <si>
    <t>342401-4-075-2009</t>
  </si>
  <si>
    <t>Orchard Pointe</t>
  </si>
  <si>
    <t>MASON MATTHEW OF HILCO REAL ES</t>
  </si>
  <si>
    <t>AHR PORT ORCHARD WA ALF LLC</t>
  </si>
  <si>
    <t>2024EX05795</t>
  </si>
  <si>
    <t>4053-012-008-0005</t>
  </si>
  <si>
    <t>MCKEE VICENTE</t>
  </si>
  <si>
    <t>AWATRAMANI SUNAYANA PRAKASH  &amp;</t>
  </si>
  <si>
    <t>2024EX05835</t>
  </si>
  <si>
    <t>8061-001-013-0002</t>
  </si>
  <si>
    <t>Winslow Green #1C</t>
  </si>
  <si>
    <t>KIRSCHER DAVID &amp; OROURKE DOLOR</t>
  </si>
  <si>
    <t>2024EX05837</t>
  </si>
  <si>
    <t>8061-001-014-0001</t>
  </si>
  <si>
    <t>Winslow Green #1D</t>
  </si>
  <si>
    <t>ALLEN LINDA J</t>
  </si>
  <si>
    <t>2024EX05942</t>
  </si>
  <si>
    <t>3804-003-010-0103</t>
  </si>
  <si>
    <t>Triplex 15th St</t>
  </si>
  <si>
    <t>HALFORD RUTH ANN</t>
  </si>
  <si>
    <t>PENZIEN GARY M &amp; AMY L</t>
  </si>
  <si>
    <t>2024EX06085</t>
  </si>
  <si>
    <t>DISCOVERY LLC</t>
  </si>
  <si>
    <t>2024EX06087</t>
  </si>
  <si>
    <t>162501-3-027-2001</t>
  </si>
  <si>
    <t>Town Ctr Shopping Center Silverdale</t>
  </si>
  <si>
    <t>KSH PROPERTIES INC</t>
  </si>
  <si>
    <t>2024EX06088</t>
  </si>
  <si>
    <t>142601-3-074-2004</t>
  </si>
  <si>
    <t>Aceituno's</t>
  </si>
  <si>
    <t>POULSBO INVESTORS LLC</t>
  </si>
  <si>
    <t>19610 POULSBO BUILDING LLC</t>
  </si>
  <si>
    <t>2024EX06106</t>
  </si>
  <si>
    <t>PORT DISCOVERY LLC</t>
  </si>
  <si>
    <t>2024EX06161</t>
  </si>
  <si>
    <t>LYON TIMOTHY A &amp; LYON CYNTHIA P</t>
  </si>
  <si>
    <t>2024EX06224</t>
  </si>
  <si>
    <t>EMERALD CONSTRUCTION &amp; DEVELOPMENT I</t>
  </si>
  <si>
    <t>2024EX06263</t>
  </si>
  <si>
    <t>GREEN MEREDITH &amp; KOEMPEL HERMAN</t>
  </si>
  <si>
    <t>2024EX06304</t>
  </si>
  <si>
    <t>4027-011-002-0105</t>
  </si>
  <si>
    <t>Farragut Arms</t>
  </si>
  <si>
    <t>FARRAGUT ASSOCIATES INC</t>
  </si>
  <si>
    <t>FARRAGUT VIEW APTS 1 LLC</t>
  </si>
  <si>
    <t>2024EX06369</t>
  </si>
  <si>
    <t>082501-4-034-2000</t>
  </si>
  <si>
    <t>MH off Random Place</t>
  </si>
  <si>
    <t>CARNAHAN MEGAN</t>
  </si>
  <si>
    <t>LARIOS JAMIE RINCON &amp; GARCIA OFELIA</t>
  </si>
  <si>
    <t>2024EX06449</t>
  </si>
  <si>
    <t>THE ORCAS POINT REVOCABLE TRUST</t>
  </si>
  <si>
    <t>2024EX06462</t>
  </si>
  <si>
    <t>VO DUY THANG &amp; NGUYEN THANH THI &amp;</t>
  </si>
  <si>
    <t>2024EX06504</t>
  </si>
  <si>
    <t>172501-4-085-2007</t>
  </si>
  <si>
    <t>Bucklin Hill West South Bld.</t>
  </si>
  <si>
    <t>MOUNTAIN HIGHWAY EAST LLC</t>
  </si>
  <si>
    <t>GOLDENDALE HOLDING COMPANY LLC</t>
  </si>
  <si>
    <t>2024EX06533</t>
  </si>
  <si>
    <t>HANSEN QUINN &amp; TOWNSEND DAKOTA</t>
  </si>
  <si>
    <t>2024EX06539</t>
  </si>
  <si>
    <t>3718-016-036-0001</t>
  </si>
  <si>
    <t>605 6th Street - parking lot</t>
  </si>
  <si>
    <t>RYAN MCHAEL &amp; MARDELL &amp;</t>
  </si>
  <si>
    <t>2024EX06625</t>
  </si>
  <si>
    <t>8056-004-028-0006</t>
  </si>
  <si>
    <t>WW D-28 42LF</t>
  </si>
  <si>
    <t>TECHLIN JODY</t>
  </si>
  <si>
    <t>VIZENOR ROBERT &amp; PAMELA</t>
  </si>
  <si>
    <t>2024EX06671</t>
  </si>
  <si>
    <t>202401-1-006-2005</t>
  </si>
  <si>
    <t>Bare land zoned Industrial on Werner</t>
  </si>
  <si>
    <t>MCGONAGLE WILLIAM S &amp; SARA L</t>
  </si>
  <si>
    <t>THE KAHNCOURSE LLC</t>
  </si>
  <si>
    <t>2024EX06694</t>
  </si>
  <si>
    <t>8191-000-100-0001</t>
  </si>
  <si>
    <t>Unit 100</t>
  </si>
  <si>
    <t>51 EGGS BRANDING LLC</t>
  </si>
  <si>
    <t>2024EX06786</t>
  </si>
  <si>
    <t>8056-002-002-0000</t>
  </si>
  <si>
    <t>WW B-2 38LF</t>
  </si>
  <si>
    <t>NICOL THOMAS S &amp; EILEEN A</t>
  </si>
  <si>
    <t>GUNDERSON NICOL LLC</t>
  </si>
  <si>
    <t>2024EX06797</t>
  </si>
  <si>
    <t>252501-2-013-2008</t>
  </si>
  <si>
    <t>BL Wetlands HWY 303</t>
  </si>
  <si>
    <t>KITSAP TENNIS &amp; ATHLETIC CENTE</t>
  </si>
  <si>
    <t>VBT MEADOWDALE TRAILS LLC</t>
  </si>
  <si>
    <t>2024EX06801</t>
  </si>
  <si>
    <t>082501-1-033-2007</t>
  </si>
  <si>
    <t>POTTER RACHEL ESTATE &amp;</t>
  </si>
  <si>
    <t>LAVALLEE DEREK</t>
  </si>
  <si>
    <t>2024EX06891</t>
  </si>
  <si>
    <t>CHESTER TYLER &amp; MOLLY FERRO</t>
  </si>
  <si>
    <t>CABRAL JOSEPH PAUL &amp; JILL CHESTER</t>
  </si>
  <si>
    <t>2024EX07036</t>
  </si>
  <si>
    <t>3717-005-001-0006</t>
  </si>
  <si>
    <t>6 units on 4th St &amp; High</t>
  </si>
  <si>
    <t>R&amp;C INTERNATIONAL HOLDINGS LLC</t>
  </si>
  <si>
    <t>1701 N 4TH LLC</t>
  </si>
  <si>
    <t>2024EX07048</t>
  </si>
  <si>
    <t>152601-4-041-2001</t>
  </si>
  <si>
    <t>NW Food Mart and Subway</t>
  </si>
  <si>
    <t>MARS GROUP INC</t>
  </si>
  <si>
    <t>POULSBO VENTURES INC</t>
  </si>
  <si>
    <t>2024EX07062</t>
  </si>
  <si>
    <t>2024EX07097</t>
  </si>
  <si>
    <t>4489-000-006-0402</t>
  </si>
  <si>
    <t>Allied Home Mrg, Mirise Atty</t>
  </si>
  <si>
    <t>CALNAN DANIEL R &amp; JEANNIE M</t>
  </si>
  <si>
    <t>RUNDQUIST KRISTOPHER A &amp; SAVAGE AYLA</t>
  </si>
  <si>
    <t>2024EX07120</t>
  </si>
  <si>
    <t>4596-000-013-0007</t>
  </si>
  <si>
    <t>Warehouse/Auto Repair</t>
  </si>
  <si>
    <t>INDEPENDENT ORDER OF ODD FELLO</t>
  </si>
  <si>
    <t>2024EX07195</t>
  </si>
  <si>
    <t>162501-3-098-2005</t>
  </si>
  <si>
    <t>Shari's Restaurant-Bucklin Hill</t>
  </si>
  <si>
    <t>JASONN PROPERTIES LLC</t>
  </si>
  <si>
    <t>BROWNBEAR105 LLC</t>
  </si>
  <si>
    <t>2024EX07202</t>
  </si>
  <si>
    <t>102601-2-057-2001</t>
  </si>
  <si>
    <t>Lot 5F  BL - College Marketplace</t>
  </si>
  <si>
    <t>MCCARRY GREGORY MICHAEL &amp; ALAN</t>
  </si>
  <si>
    <t>ADIKE ABIMBOLA &amp; LUCKY</t>
  </si>
  <si>
    <t>2024EX07220</t>
  </si>
  <si>
    <t>BRAY JAMES &amp; GAYMAN CASEY</t>
  </si>
  <si>
    <t>2024EX07227</t>
  </si>
  <si>
    <t>3718-006-029-0001</t>
  </si>
  <si>
    <t>Town Manor Apts and Parking @ East</t>
  </si>
  <si>
    <t>DIAMOND PARKING INC</t>
  </si>
  <si>
    <t>BPM6 LLC</t>
  </si>
  <si>
    <t>2024EX07287</t>
  </si>
  <si>
    <t>262502-2-144-2008</t>
  </si>
  <si>
    <t>Wyatt/Madison Apartments 1 of 2</t>
  </si>
  <si>
    <t>WYATT &amp; MADISON LLC</t>
  </si>
  <si>
    <t>HOUSING RESOURCES BAINBRIDGE</t>
  </si>
  <si>
    <t>2024EX07297</t>
  </si>
  <si>
    <t>3733-006-005-0000</t>
  </si>
  <si>
    <t>339 N Callow Retail</t>
  </si>
  <si>
    <t>JACKLEY BROCK &amp; LAUREL M</t>
  </si>
  <si>
    <t>SHOURD SKYLER BRITT &amp; BRIAN DAVID</t>
  </si>
  <si>
    <t>2024EX07400</t>
  </si>
  <si>
    <t>QUICK QUACK CAR WASH HOLDINGS LLC</t>
  </si>
  <si>
    <t>2024EX07444</t>
  </si>
  <si>
    <t>342601-2-002-2009</t>
  </si>
  <si>
    <t>Northwest Septic</t>
  </si>
  <si>
    <t>NORTHWEST SEPTIC O &amp; M INC &amp;</t>
  </si>
  <si>
    <t>GARCIA LAND HOLDINGS LLC</t>
  </si>
  <si>
    <t>2024EX07446</t>
  </si>
  <si>
    <t>162501-2-062-2009</t>
  </si>
  <si>
    <t>Randall Business Center</t>
  </si>
  <si>
    <t>RANDALL BUSINESS CENTER LLC</t>
  </si>
  <si>
    <t>2024EX07500</t>
  </si>
  <si>
    <t>052401-3-041-2007</t>
  </si>
  <si>
    <t>Warehouse on Chico Way</t>
  </si>
  <si>
    <t>ARGYLE JOHN</t>
  </si>
  <si>
    <t>WHITNEY MAXX &amp; REED LAWRAN</t>
  </si>
  <si>
    <t>2024EX07503</t>
  </si>
  <si>
    <t>332401-2-017-2005</t>
  </si>
  <si>
    <t>Servpro</t>
  </si>
  <si>
    <t>TJ MCCANN LLC</t>
  </si>
  <si>
    <t>LEAVENS REALTY -  KITSAP LLC</t>
  </si>
  <si>
    <t>2024EX07523</t>
  </si>
  <si>
    <t>092501-2-014-2007</t>
  </si>
  <si>
    <t>LARDNER THOMAS P ESTATE</t>
  </si>
  <si>
    <t>STRUNK JACOB ANTHONY &amp; ALLISON ANNE</t>
  </si>
  <si>
    <t>2024EX07527</t>
  </si>
  <si>
    <t>142401-3-065-2007</t>
  </si>
  <si>
    <t>ARCO &amp; AM PM- 6TH AND NAVAL</t>
  </si>
  <si>
    <t>AYUSH &amp; ANSH INC</t>
  </si>
  <si>
    <t>MARSHAL PETROLEUM LLC</t>
  </si>
  <si>
    <t>2024EX07540</t>
  </si>
  <si>
    <t>SP SEDGWICK LLC</t>
  </si>
  <si>
    <t>2024EX07547</t>
  </si>
  <si>
    <t>292702-1-062-2003</t>
  </si>
  <si>
    <t>BL Lot D at Kingston West Ind Park</t>
  </si>
  <si>
    <t>BLTN 2 LLC</t>
  </si>
  <si>
    <t>KITSAP CCS LLC</t>
  </si>
  <si>
    <t>2024EX07600</t>
  </si>
  <si>
    <t>4042-001-001-0009</t>
  </si>
  <si>
    <t>KFC-Bay St Port Orchard</t>
  </si>
  <si>
    <t>MAINE LLC</t>
  </si>
  <si>
    <t>ORCHARD FOODS CORPORATION</t>
  </si>
  <si>
    <t>2024EX07613</t>
  </si>
  <si>
    <t>3902-001-014-0005</t>
  </si>
  <si>
    <t>Dog Groomer Retail-Manette</t>
  </si>
  <si>
    <t>A K REALTY GROUP LLC</t>
  </si>
  <si>
    <t>1132 WHEATON WAY LLC</t>
  </si>
  <si>
    <t>2024EX07681</t>
  </si>
  <si>
    <t>TESSIER JOHN PATRICK &amp; LINDA S</t>
  </si>
  <si>
    <t>2024EX07697</t>
  </si>
  <si>
    <t>3718-014-030-0101</t>
  </si>
  <si>
    <t>4th St- Fingers Duke Screen Printing</t>
  </si>
  <si>
    <t>51-1062 LLC</t>
  </si>
  <si>
    <t>SUPER FD 2 LLC</t>
  </si>
  <si>
    <t>2025EX00042</t>
  </si>
  <si>
    <t>8103-000-015-0002</t>
  </si>
  <si>
    <t>T-Hangar Unit 15</t>
  </si>
  <si>
    <t>WOOD PAMELA JANE</t>
  </si>
  <si>
    <t>LULON AIR LLC</t>
  </si>
  <si>
    <t>2025EX00063</t>
  </si>
  <si>
    <t>352501-1-104-2008</t>
  </si>
  <si>
    <t>BL HWY 303 S of McWilliams</t>
  </si>
  <si>
    <t>BREMERTON COMMERCIAL PARK LLC</t>
  </si>
  <si>
    <t>DHIC - MEADOWDALE LLC</t>
  </si>
  <si>
    <t>2025EX00337</t>
  </si>
  <si>
    <t>3718-018-001-0008</t>
  </si>
  <si>
    <t>Professional Bldg</t>
  </si>
  <si>
    <t>WARREN TOWER LLC</t>
  </si>
  <si>
    <t>CITY OF BREMERTON</t>
  </si>
  <si>
    <t>2025EX00347</t>
  </si>
  <si>
    <t>GIANG ALAN P &amp; JUEXUN PAN</t>
  </si>
  <si>
    <t>2025EX00360</t>
  </si>
  <si>
    <t>082401-4-034-2001</t>
  </si>
  <si>
    <t>Retail &amp; Apartment</t>
  </si>
  <si>
    <t>SYMINGTON JOHN D  ESTATE</t>
  </si>
  <si>
    <t>6710 KITSAP WAY LLC</t>
  </si>
  <si>
    <t>2025EX00456</t>
  </si>
  <si>
    <t>232502-3-045-2009</t>
  </si>
  <si>
    <t>Bank on High School Road</t>
  </si>
  <si>
    <t>UMPQUA BANK</t>
  </si>
  <si>
    <t>MAL LP</t>
  </si>
  <si>
    <t>Multi-Parcel Sales</t>
  </si>
  <si>
    <t>2020EX00969</t>
  </si>
  <si>
    <t xml:space="preserve">West Bremerton Uplands City   </t>
  </si>
  <si>
    <t>3718-024-033-0008</t>
  </si>
  <si>
    <t xml:space="preserve">EMMANUEL APOSTOLIC CHURCH           </t>
  </si>
  <si>
    <t xml:space="preserve">HNN HOLDINGS LLC                    </t>
  </si>
  <si>
    <t xml:space="preserve">180- Other residential        </t>
  </si>
  <si>
    <t>3718-024-034-0007</t>
  </si>
  <si>
    <t>3718-024-035-0006</t>
  </si>
  <si>
    <t>2020EX01420</t>
  </si>
  <si>
    <t>7000-000-004-0001</t>
  </si>
  <si>
    <t>Jackson Brothers - Bldg 56-Grudens</t>
  </si>
  <si>
    <t>D - Not economic unit</t>
  </si>
  <si>
    <t>GRUNDSUND PROPERTY CO</t>
  </si>
  <si>
    <t>OLD BROWN DOG HOLDINGS LLC</t>
  </si>
  <si>
    <t>7000-000-005-0000</t>
  </si>
  <si>
    <t>BL- Lot E SW corner of site</t>
  </si>
  <si>
    <t>2020EX01757</t>
  </si>
  <si>
    <t>302402-4-146-2007</t>
  </si>
  <si>
    <t>BL split zone Mile Hill &amp; Baby Doll</t>
  </si>
  <si>
    <t>ALLITO PROPERTIES LLC</t>
  </si>
  <si>
    <t>302402-4-147-2006</t>
  </si>
  <si>
    <t xml:space="preserve">Port Orchard                  </t>
  </si>
  <si>
    <t>302402-4-152-2008</t>
  </si>
  <si>
    <t>2020EX02438</t>
  </si>
  <si>
    <t>342601-1-085-2001</t>
  </si>
  <si>
    <t>BL Fronting Silverdale Way</t>
  </si>
  <si>
    <t>LAUGHLIN DEVELOPMENT LLC</t>
  </si>
  <si>
    <t>ECO STORAGE NW LLC</t>
  </si>
  <si>
    <t>342601-1-090-2004</t>
  </si>
  <si>
    <t>2020EX02542</t>
  </si>
  <si>
    <t>3967-001-017-0103</t>
  </si>
  <si>
    <t>Farrell's Home Health Care</t>
  </si>
  <si>
    <t xml:space="preserve">CRAMER CARL &amp; LOUISE &amp;              </t>
  </si>
  <si>
    <t xml:space="preserve">WHEATON PARTNERS LLC                </t>
  </si>
  <si>
    <t>3967-001-017-0707</t>
  </si>
  <si>
    <t>Ristretto Stone Espresso</t>
  </si>
  <si>
    <t>2020EX03530</t>
  </si>
  <si>
    <t>272701-4-016-2007</t>
  </si>
  <si>
    <t>BL Fronting Hwy 3, S of Pioneer</t>
  </si>
  <si>
    <t>HILLTOP FABRICATORS LLC</t>
  </si>
  <si>
    <t>CRAZY WOLF ENTERPRISES LLC</t>
  </si>
  <si>
    <t>272701-4-026-2005</t>
  </si>
  <si>
    <t>Metal warehouse Hwy 3 S of Pioneer</t>
  </si>
  <si>
    <t>2020EX04121</t>
  </si>
  <si>
    <t>3976-028-004-0001</t>
  </si>
  <si>
    <t>Parent Account</t>
  </si>
  <si>
    <t>W - With other property</t>
  </si>
  <si>
    <t>NARROWS PROFESSIONAL GRP LLC</t>
  </si>
  <si>
    <t>LEVELMENT LLC &amp; CAMP 1225 LLC</t>
  </si>
  <si>
    <t>3976-028-004-0100</t>
  </si>
  <si>
    <t>Exempt sub account</t>
  </si>
  <si>
    <t>2020EX04644</t>
  </si>
  <si>
    <t>112301-2-009-2002</t>
  </si>
  <si>
    <t>BL Sidney Rd</t>
  </si>
  <si>
    <t>TALLMAN JAMES &amp; DIAN LLC &amp; TAL</t>
  </si>
  <si>
    <t>QRX1 INC</t>
  </si>
  <si>
    <t>2020EX04649</t>
  </si>
  <si>
    <t>QRX1 CORP</t>
  </si>
  <si>
    <t>SIDNEY ROAD APARTMENTS LLC</t>
  </si>
  <si>
    <t>2020EX05072</t>
  </si>
  <si>
    <t>342401-2-018-2003</t>
  </si>
  <si>
    <t>Suldan's Boat Works</t>
  </si>
  <si>
    <t>JOHNSON MABEL L &amp; SULDAN GREGO</t>
  </si>
  <si>
    <t>342401-2-036-2001</t>
  </si>
  <si>
    <t>Suldan's Marina</t>
  </si>
  <si>
    <t>2020EX05122</t>
  </si>
  <si>
    <t>312402-1-024-2009</t>
  </si>
  <si>
    <t>Glacier West - Mile Hill Storage</t>
  </si>
  <si>
    <t>MHS PROPERTIES LLC &amp; DODGE JEF</t>
  </si>
  <si>
    <t>GW PORT ORCHARD 670 LLC</t>
  </si>
  <si>
    <t>312402-1-076-2006</t>
  </si>
  <si>
    <t>Glacier West Storage - Port Orchard</t>
  </si>
  <si>
    <t>312402-1-077-2005</t>
  </si>
  <si>
    <t>Espresso Stand - Mile Hill</t>
  </si>
  <si>
    <t>2020EX05216</t>
  </si>
  <si>
    <t>4737-000-001-0001</t>
  </si>
  <si>
    <t>corner Bethel &amp; Vallair Ct</t>
  </si>
  <si>
    <t>PBJP ENTERPRISES LLC</t>
  </si>
  <si>
    <t>ORCHARD LLC</t>
  </si>
  <si>
    <t>4737-000-002-0000</t>
  </si>
  <si>
    <t>Lot on Vallair Ct one lot off Bethel</t>
  </si>
  <si>
    <t>2020EX05225</t>
  </si>
  <si>
    <t>212401-1-078-2007</t>
  </si>
  <si>
    <t>Merchants Moving &amp; Storage</t>
  </si>
  <si>
    <t>THROW IT IN THE RIVER LLC</t>
  </si>
  <si>
    <t>MJK ENTERPRISES LLC</t>
  </si>
  <si>
    <t>212401-1-079-2006</t>
  </si>
  <si>
    <t>Professional Moving &amp; Storage</t>
  </si>
  <si>
    <t>2020EX05687</t>
  </si>
  <si>
    <t>122301-3-010-2006</t>
  </si>
  <si>
    <t>CALVARY CHAPEL OF PORT ORCHARD</t>
  </si>
  <si>
    <t>KENDALL KENT &amp; LAMOUREUX RICHARD &amp; D</t>
  </si>
  <si>
    <t>2020EX06695</t>
  </si>
  <si>
    <t>3719-001-029-0308</t>
  </si>
  <si>
    <t>Brentwood MHP</t>
  </si>
  <si>
    <t>LIGHT RICHARD J &amp; MCCLELLAND K</t>
  </si>
  <si>
    <t>BRENTWOOD MHP LLC</t>
  </si>
  <si>
    <t xml:space="preserve">118- MH - Leased land         </t>
  </si>
  <si>
    <t>9000-000-658-0006</t>
  </si>
  <si>
    <t xml:space="preserve">LIGHT RICHARD J &amp; MCCLELLAND K      </t>
  </si>
  <si>
    <t xml:space="preserve">BRENTWOOD MHP LLC                   </t>
  </si>
  <si>
    <t>9000-000-661-0001</t>
  </si>
  <si>
    <t>9000-000-662-0000</t>
  </si>
  <si>
    <t>9000-000-663-0009</t>
  </si>
  <si>
    <t>9000-000-664-0008</t>
  </si>
  <si>
    <t>9000-000-665-0007</t>
  </si>
  <si>
    <t>9000-000-666-0006</t>
  </si>
  <si>
    <t>9000-000-668-0004</t>
  </si>
  <si>
    <t>9000-000-669-0003</t>
  </si>
  <si>
    <t>9000-000-670-0000</t>
  </si>
  <si>
    <t>9000-000-674-0006</t>
  </si>
  <si>
    <t>9000-010-128-0007</t>
  </si>
  <si>
    <t>2020EX06746</t>
  </si>
  <si>
    <t xml:space="preserve">Silverdale-COM                </t>
  </si>
  <si>
    <t>282601-3-029-2004</t>
  </si>
  <si>
    <t>Rhododendron MHP</t>
  </si>
  <si>
    <t>WHITFORD TRENT T &amp; MCDERMED WE</t>
  </si>
  <si>
    <t>SKYLINERS MHP LLC</t>
  </si>
  <si>
    <t xml:space="preserve">Silverdale Rural              </t>
  </si>
  <si>
    <t>9000-001-653-0009</t>
  </si>
  <si>
    <t>2020EX07271</t>
  </si>
  <si>
    <t>262702-1-088-2006</t>
  </si>
  <si>
    <t>proposed apartments with 089</t>
  </si>
  <si>
    <t>FLESCHER RICK &amp; KAREN &amp; FLESHER RUSS</t>
  </si>
  <si>
    <t>262702-1-089-2005</t>
  </si>
  <si>
    <t>proposed apartments with 088</t>
  </si>
  <si>
    <t>2020EX07784</t>
  </si>
  <si>
    <t>VECCHIATO JACOPO &amp; ZAPATA MARIA PAUL</t>
  </si>
  <si>
    <t xml:space="preserve">141- Condo, residential       </t>
  </si>
  <si>
    <t xml:space="preserve">South Bainbridge              </t>
  </si>
  <si>
    <t>8217-003-240-0006</t>
  </si>
  <si>
    <t xml:space="preserve">ROOST LAND COMPANY LLC              </t>
  </si>
  <si>
    <t>2020EX07979</t>
  </si>
  <si>
    <t>012301-2-183-2002</t>
  </si>
  <si>
    <t>Fourplex off of Salmonberry</t>
  </si>
  <si>
    <t>NGP7 LLC</t>
  </si>
  <si>
    <t>LA WILLIAMS CONSTRUCTION LIMITED</t>
  </si>
  <si>
    <t>012301-2-185-2000</t>
  </si>
  <si>
    <t>2020EX08759</t>
  </si>
  <si>
    <t>3718-015-033-0006</t>
  </si>
  <si>
    <t>The Sun</t>
  </si>
  <si>
    <t xml:space="preserve">SCRIPPS NP OPERATING LLC            </t>
  </si>
  <si>
    <t xml:space="preserve">LP2 KITSAP SUN LLC                  </t>
  </si>
  <si>
    <t>3718-016-008-0005</t>
  </si>
  <si>
    <t>636 5th Street - Parking Lot</t>
  </si>
  <si>
    <t>SCRIPPS NP OPERATING LLC</t>
  </si>
  <si>
    <t>LP2 KITSAP SUN LLC</t>
  </si>
  <si>
    <t>3718-016-009-0004</t>
  </si>
  <si>
    <t>634 5th Street - Parking Lot</t>
  </si>
  <si>
    <t>3718-017-013-0006</t>
  </si>
  <si>
    <t>812 5th Street - Parking Lot</t>
  </si>
  <si>
    <t>2020EX09500</t>
  </si>
  <si>
    <t>4230-002-007-0201</t>
  </si>
  <si>
    <t>BL N of King Olaf off Front Street</t>
  </si>
  <si>
    <t>HEFFNER WALLACE B &amp; NANETTE J</t>
  </si>
  <si>
    <t>POULSBO HISTORICAL SOCIETY</t>
  </si>
  <si>
    <t>4230-002-008-0002</t>
  </si>
  <si>
    <t>Poulsbo Historical Society</t>
  </si>
  <si>
    <t>2020EX09531</t>
  </si>
  <si>
    <t>3967-001-002-0001</t>
  </si>
  <si>
    <t>Parkng for Dr.'s Clinic &amp; Farrells</t>
  </si>
  <si>
    <t>WHEATON ASSOCIATES LLC</t>
  </si>
  <si>
    <t>LP2 WHEATON WAY LLC</t>
  </si>
  <si>
    <t>3967-002-021-0006</t>
  </si>
  <si>
    <t>Medical office corner Wheaton &amp; Cherry/Lebo</t>
  </si>
  <si>
    <t>2020EX09786</t>
  </si>
  <si>
    <t>272401-4-019-2007</t>
  </si>
  <si>
    <t xml:space="preserve">PO--GB Greenbelt              </t>
  </si>
  <si>
    <t>ELDORADO HILLS INC</t>
  </si>
  <si>
    <t>272401-4-039-2003</t>
  </si>
  <si>
    <t>Restaurant Bay St. W of Wilkins Dr.</t>
  </si>
  <si>
    <t>2020EX09794</t>
  </si>
  <si>
    <t>272701-4-095-2001</t>
  </si>
  <si>
    <t>BL- Lot E</t>
  </si>
  <si>
    <t>NILSEN BRUCE &amp; LYNDA</t>
  </si>
  <si>
    <t>RYJAAL INVESTMENTS LLC</t>
  </si>
  <si>
    <t>272701-4-098-2008</t>
  </si>
  <si>
    <t>Warehouse Lot H</t>
  </si>
  <si>
    <t>2020EX09833</t>
  </si>
  <si>
    <t>3719-001-026-0608</t>
  </si>
  <si>
    <t>Cascade Elite Gymnastics West</t>
  </si>
  <si>
    <t>BOE RICHARD N &amp; DEBORAH A</t>
  </si>
  <si>
    <t>SINGH HARDEEP &amp; BRAR BREMERTON LLC</t>
  </si>
  <si>
    <t>3719-001-027-0003</t>
  </si>
  <si>
    <t>BL on Crawford off Kitsap Way</t>
  </si>
  <si>
    <t>2020EX09846</t>
  </si>
  <si>
    <t xml:space="preserve">Indianola-COM                 </t>
  </si>
  <si>
    <t>4360-001-031-0007</t>
  </si>
  <si>
    <t>Indianola Country Store</t>
  </si>
  <si>
    <t>TRUEB ROBERT A &amp; TIA A</t>
  </si>
  <si>
    <t>INDIANOLA COUNTRY STORE LLC</t>
  </si>
  <si>
    <t>4360-034-013-0000</t>
  </si>
  <si>
    <t>Parking for Indianola Grocery</t>
  </si>
  <si>
    <t xml:space="preserve">TRUEB ROBERT A &amp; TIA A              </t>
  </si>
  <si>
    <t xml:space="preserve">INDIANOLA COUNTRY STORE LLC         </t>
  </si>
  <si>
    <t>2020EX09873</t>
  </si>
  <si>
    <t xml:space="preserve">Olalla-COM                    </t>
  </si>
  <si>
    <t>122201-3-029-2006</t>
  </si>
  <si>
    <t>Olympic View MHP</t>
  </si>
  <si>
    <t>ESSKA LLC &amp; HEIRS AND DEVISEES</t>
  </si>
  <si>
    <t>OLYMPIC VIEW COMMUNITY LLC</t>
  </si>
  <si>
    <t xml:space="preserve">Olalla                        </t>
  </si>
  <si>
    <t>122201-4-013-2002</t>
  </si>
  <si>
    <t xml:space="preserve">ESSKA LLC &amp; HEIRS AND DEVISEES      </t>
  </si>
  <si>
    <t xml:space="preserve">OLYMPIC VIEW COMMUNITY LLC          </t>
  </si>
  <si>
    <t>122201-4-014-2001</t>
  </si>
  <si>
    <t>2021EX00135</t>
  </si>
  <si>
    <t>012301-1-005-1002</t>
  </si>
  <si>
    <t>BL on Hwy 3</t>
  </si>
  <si>
    <t>VICTORY BUSINESS CENTER LLC</t>
  </si>
  <si>
    <t>012301-1-006-1001</t>
  </si>
  <si>
    <t>012301-4-001-1000</t>
  </si>
  <si>
    <t>BL - Victory Bus Park LLC</t>
  </si>
  <si>
    <t>012301-4-002-1009</t>
  </si>
  <si>
    <t>2021EX00751</t>
  </si>
  <si>
    <t>4489-000-009-0003</t>
  </si>
  <si>
    <t>Michaels + Center</t>
  </si>
  <si>
    <t>KITSAP PLACE LP</t>
  </si>
  <si>
    <t>SILVERDALE WAY LLC</t>
  </si>
  <si>
    <t>4489-000-035-0001</t>
  </si>
  <si>
    <t>TJ Maxx</t>
  </si>
  <si>
    <t>4489-000-037-0009</t>
  </si>
  <si>
    <t>LO Parking for Kitsap Place</t>
  </si>
  <si>
    <t>2021EX00753</t>
  </si>
  <si>
    <t>162501-2-078-2001</t>
  </si>
  <si>
    <t>Worksource Office</t>
  </si>
  <si>
    <t xml:space="preserve">NORTHPOINT OWNER LP                 </t>
  </si>
  <si>
    <t xml:space="preserve">NORTH POINT AT KITSAP LLC           </t>
  </si>
  <si>
    <t>162501-2-079-2000</t>
  </si>
  <si>
    <t>Snap Fitness &amp; vacant</t>
  </si>
  <si>
    <t>NORTHPOINT OWNER LP</t>
  </si>
  <si>
    <t>NORTH POINT AT KITSAP LLC</t>
  </si>
  <si>
    <t>162501-2-080-2007</t>
  </si>
  <si>
    <t>La Z Boy Furniture</t>
  </si>
  <si>
    <t>162501-2-091-2004</t>
  </si>
  <si>
    <t>Applebee's Silverdale</t>
  </si>
  <si>
    <t>2021EX00785</t>
  </si>
  <si>
    <t>012301-4-021-1006</t>
  </si>
  <si>
    <t>Lot zone BC behind Airport Auto Wrk</t>
  </si>
  <si>
    <t>CROSS JERRIE L ESTATE</t>
  </si>
  <si>
    <t>TITAN EQUITY HOLDINGS LLC</t>
  </si>
  <si>
    <t>012301-4-030-1005</t>
  </si>
  <si>
    <t>Airport Auto Wrecking w/031</t>
  </si>
  <si>
    <t>012301-4-031-1004</t>
  </si>
  <si>
    <t>BL zone BC, contig w/Aiport Auto Wrk</t>
  </si>
  <si>
    <t>2021EX00974</t>
  </si>
  <si>
    <t>122301-2-021-1007</t>
  </si>
  <si>
    <t>Warehouses - Nixon Loop</t>
  </si>
  <si>
    <t>SWP PROPERTIES LLC</t>
  </si>
  <si>
    <t>122301-2-032-1004</t>
  </si>
  <si>
    <t>Lot C Nixon Loop</t>
  </si>
  <si>
    <t xml:space="preserve">SWP PROPERTIES LLC                  </t>
  </si>
  <si>
    <t>2021EX01053</t>
  </si>
  <si>
    <t>262502-3-154-2003</t>
  </si>
  <si>
    <t>Islander MHP</t>
  </si>
  <si>
    <t>LAST ROBERT &amp; KAWASAKI KEIKO</t>
  </si>
  <si>
    <t>CONARD EMILY</t>
  </si>
  <si>
    <t xml:space="preserve">Winslow                       </t>
  </si>
  <si>
    <t>9000-010-181-0001</t>
  </si>
  <si>
    <t xml:space="preserve">LAST ROBERT &amp; KAWASAKI KEIKO        </t>
  </si>
  <si>
    <t xml:space="preserve">CONARD EMILY                        </t>
  </si>
  <si>
    <t>2021EX01193</t>
  </si>
  <si>
    <t>202501-2-058-2009</t>
  </si>
  <si>
    <t>Warehouse w/067</t>
  </si>
  <si>
    <t>MCBRIDE SCOTT D &amp; MCBRIDE TODD</t>
  </si>
  <si>
    <t>9218 PROVOST RD NW LLC</t>
  </si>
  <si>
    <t>202501-2-067-2008</t>
  </si>
  <si>
    <t>BL narrow strip w/057</t>
  </si>
  <si>
    <t>2021EX01225</t>
  </si>
  <si>
    <t>142601-3-059-2003</t>
  </si>
  <si>
    <t>Burger King Poulsbo</t>
  </si>
  <si>
    <t>SOUND CITY FOODS INC</t>
  </si>
  <si>
    <t>AMBROSIA QSR BURGER LLC</t>
  </si>
  <si>
    <t>162501-3-032-2004</t>
  </si>
  <si>
    <t>Burger King - Silverdale</t>
  </si>
  <si>
    <t>252401-4-059-2000</t>
  </si>
  <si>
    <t>Burger King - Mile Hill Plaza</t>
  </si>
  <si>
    <t xml:space="preserve">SOUND CITY FOODS INC                </t>
  </si>
  <si>
    <t xml:space="preserve">AMBROSIA QSR BURGER LLC             </t>
  </si>
  <si>
    <t>3743-001-013-0108</t>
  </si>
  <si>
    <t>Burger King - Warren Ave</t>
  </si>
  <si>
    <t>3787-000-016-0104</t>
  </si>
  <si>
    <t>Burger King - Kitsap Way</t>
  </si>
  <si>
    <t>8503-001-003-0208</t>
  </si>
  <si>
    <t>Unit 3B Burger King</t>
  </si>
  <si>
    <t>2021EX01312</t>
  </si>
  <si>
    <t>312602-2-017-2004</t>
  </si>
  <si>
    <t>Auto Body Experts</t>
  </si>
  <si>
    <t>STRUCTURED LLC</t>
  </si>
  <si>
    <t>PORT MADISON ENTERPRISE &amp; POULSBO IN</t>
  </si>
  <si>
    <t>312602-2-018-2003</t>
  </si>
  <si>
    <t>312602-2-019-2002</t>
  </si>
  <si>
    <t>Lot C Flex Warehouse</t>
  </si>
  <si>
    <t>312602-2-020-2009</t>
  </si>
  <si>
    <t>Lot D Flex Warehouse</t>
  </si>
  <si>
    <t>312602-2-021-2008</t>
  </si>
  <si>
    <t>Lot E Road Rider Supply</t>
  </si>
  <si>
    <t>312602-2-022-2007</t>
  </si>
  <si>
    <t>Lot F DSC Industrial Supply</t>
  </si>
  <si>
    <t>312602-2-023-2006</t>
  </si>
  <si>
    <t>Units G1 &amp; G2</t>
  </si>
  <si>
    <t>312602-2-024-2005</t>
  </si>
  <si>
    <t>Units H1 &amp; H2</t>
  </si>
  <si>
    <t>312602-2-025-2004</t>
  </si>
  <si>
    <t>Common Area- NK Business Park</t>
  </si>
  <si>
    <t>2021EX01508</t>
  </si>
  <si>
    <t xml:space="preserve">Publicly owned                </t>
  </si>
  <si>
    <t>102601-1-002-2009</t>
  </si>
  <si>
    <t xml:space="preserve">City of Poulsbo                     </t>
  </si>
  <si>
    <t>POULSBO CHURCH OF THE NAZARENE</t>
  </si>
  <si>
    <t>2021EX01609</t>
  </si>
  <si>
    <t>102501-1-029-2009</t>
  </si>
  <si>
    <t>Church of the Nazarene Plsbo-EXEMPT</t>
  </si>
  <si>
    <t>CITY CHAPEL OF BREMERTON</t>
  </si>
  <si>
    <t>102501-1-029-2108</t>
  </si>
  <si>
    <t>Church of the Nazarene Plsbo-Taxable Ptn BL</t>
  </si>
  <si>
    <t>2021EX01814</t>
  </si>
  <si>
    <t>042402-1-105-2004</t>
  </si>
  <si>
    <t>BL Lynwood Center Rd</t>
  </si>
  <si>
    <t xml:space="preserve">LYNWOOD COMMONS LLC                 </t>
  </si>
  <si>
    <t xml:space="preserve">ACCURANT INTERNATIONAL  LLC         </t>
  </si>
  <si>
    <t>042402-1-106-2003</t>
  </si>
  <si>
    <t>BL Corner Pt White &amp; Lynwood Ctr</t>
  </si>
  <si>
    <t>2021EX02148</t>
  </si>
  <si>
    <t>3743-001-020-0000</t>
  </si>
  <si>
    <t>SFR on Warren Ave</t>
  </si>
  <si>
    <t>QUIGLEY TIMOTHY S &amp; LETITIA A</t>
  </si>
  <si>
    <t>3743-001-020-0109</t>
  </si>
  <si>
    <t>SFR-Ward Scott CPA w/detached garage</t>
  </si>
  <si>
    <t xml:space="preserve">QUIGLEY TIMOTHY &amp; LETITIA           </t>
  </si>
  <si>
    <t xml:space="preserve">SINGHBROTHERS LLC                   </t>
  </si>
  <si>
    <t>2021EX02369</t>
  </si>
  <si>
    <t>3918-002-019-0000</t>
  </si>
  <si>
    <t>Living Room Realty - Pitt &amp; Harkins</t>
  </si>
  <si>
    <t xml:space="preserve">KING &amp; YEE LLC                      </t>
  </si>
  <si>
    <t xml:space="preserve">GSD REALTY LLC                      </t>
  </si>
  <si>
    <t xml:space="preserve">Manette Uplands               </t>
  </si>
  <si>
    <t>3918-002-019-0406</t>
  </si>
  <si>
    <t>BL off 11th in Manette</t>
  </si>
  <si>
    <t>3918-002-020-0106</t>
  </si>
  <si>
    <t>Retail Shops Pitt &amp; 11th in Manette</t>
  </si>
  <si>
    <t>2021EX02613</t>
  </si>
  <si>
    <t>032301-4-048-2001</t>
  </si>
  <si>
    <t>BL- W of lot 049</t>
  </si>
  <si>
    <t>SIDNEY STORAGE LLC</t>
  </si>
  <si>
    <t>4444 SIDNEY STORAGE LLC</t>
  </si>
  <si>
    <t>032301-4-049-2000</t>
  </si>
  <si>
    <t>Sidney Self Storage</t>
  </si>
  <si>
    <t>2021EX03203</t>
  </si>
  <si>
    <t>362401-2-047-2006</t>
  </si>
  <si>
    <t>BO Ace Hdw/New 2 You</t>
  </si>
  <si>
    <t>VIKINGZ LLC &amp; BONZO LLC &amp; LEVELEMENT</t>
  </si>
  <si>
    <t>362401-2-057-2003</t>
  </si>
  <si>
    <t>BO end 4 units/Grocery Outlet</t>
  </si>
  <si>
    <t>362401-2-058-2002</t>
  </si>
  <si>
    <t>Mall shops &amp; offices</t>
  </si>
  <si>
    <t>362401-2-070-2006</t>
  </si>
  <si>
    <t>BO Goodwill</t>
  </si>
  <si>
    <t>362401-2-092-2000</t>
  </si>
  <si>
    <t>LO w/092-21</t>
  </si>
  <si>
    <t>362401-2-092-2109</t>
  </si>
  <si>
    <t>LO w/092-00</t>
  </si>
  <si>
    <t>362401-2-093-2009</t>
  </si>
  <si>
    <t>Centric Labs (Old bank bldg)</t>
  </si>
  <si>
    <t xml:space="preserve">SOUTH KITSAP MALL INC               </t>
  </si>
  <si>
    <t>362401-2-095-2007</t>
  </si>
  <si>
    <t>SK Mall Lot B</t>
  </si>
  <si>
    <t>2021EX03206</t>
  </si>
  <si>
    <t>4684-001-007-0204</t>
  </si>
  <si>
    <t>BL Additional Land</t>
  </si>
  <si>
    <t>MANCHESTER HEIGHTS APARTMENTS</t>
  </si>
  <si>
    <t>4684-001-009-0103</t>
  </si>
  <si>
    <t>The Jackson Apartments</t>
  </si>
  <si>
    <t>2021EX03574</t>
  </si>
  <si>
    <t>3968-003-005-0003</t>
  </si>
  <si>
    <t xml:space="preserve">CEDAR GLEN ENTERPRISE LLC &amp;         </t>
  </si>
  <si>
    <t xml:space="preserve">NSE KITSAP FEE OWNER LLC            </t>
  </si>
  <si>
    <t>3968-003-009-0009</t>
  </si>
  <si>
    <t>Indigo Apartments (former Cedar Glen) 1 of 2</t>
  </si>
  <si>
    <t>CEDAR GLEN ENTERPRISE LLC &amp;</t>
  </si>
  <si>
    <t>NSE KITSAP FEE OWNER LLC</t>
  </si>
  <si>
    <t>3968-007-014-0102</t>
  </si>
  <si>
    <t>Indigo (former Maple Manor) 2 of 2</t>
  </si>
  <si>
    <t>2021EX03681</t>
  </si>
  <si>
    <t xml:space="preserve">Soundview Estates             </t>
  </si>
  <si>
    <t>202401-4-263-2007</t>
  </si>
  <si>
    <t>HARBOR CUSTOM DEVELOPMENT INC</t>
  </si>
  <si>
    <t>AG ESSENTIAL HOUSING MULTI STATE 1 L</t>
  </si>
  <si>
    <t>202401-4-264-2006</t>
  </si>
  <si>
    <t>202401-4-265-2005</t>
  </si>
  <si>
    <t>202401-4-266-2004</t>
  </si>
  <si>
    <t>202401-4-267-2003</t>
  </si>
  <si>
    <t>202401-4-268-2002</t>
  </si>
  <si>
    <t>202401-4-269-2001</t>
  </si>
  <si>
    <t>202401-4-270-2008</t>
  </si>
  <si>
    <t>202401-4-271-2007</t>
  </si>
  <si>
    <t>202401-4-272-2006</t>
  </si>
  <si>
    <t>202401-4-273-2005</t>
  </si>
  <si>
    <t>202401-4-274-2004</t>
  </si>
  <si>
    <t>202401-4-275-2003</t>
  </si>
  <si>
    <t>202401-4-276-2002</t>
  </si>
  <si>
    <t>202401-4-277-2001</t>
  </si>
  <si>
    <t>202401-4-278-2000</t>
  </si>
  <si>
    <t>202401-4-279-2009</t>
  </si>
  <si>
    <t>202401-4-280-2006</t>
  </si>
  <si>
    <t>202401-4-281-2005</t>
  </si>
  <si>
    <t>202401-4-282-2004</t>
  </si>
  <si>
    <t>202401-4-283-2003</t>
  </si>
  <si>
    <t>202401-4-284-2002</t>
  </si>
  <si>
    <t>202401-4-285-2001</t>
  </si>
  <si>
    <t>202401-4-286-2000</t>
  </si>
  <si>
    <t>202401-4-287-2009</t>
  </si>
  <si>
    <t>202401-4-288-2008</t>
  </si>
  <si>
    <t>202401-4-289-2007</t>
  </si>
  <si>
    <t>202401-4-290-2004</t>
  </si>
  <si>
    <t>202401-4-291-2003</t>
  </si>
  <si>
    <t>202401-4-292-2002</t>
  </si>
  <si>
    <t>202401-4-293-2001</t>
  </si>
  <si>
    <t>202401-4-294-2000</t>
  </si>
  <si>
    <t>202401-4-295-2009</t>
  </si>
  <si>
    <t>202401-4-296-2008</t>
  </si>
  <si>
    <t>202401-4-297-2007</t>
  </si>
  <si>
    <t>202401-4-298-2006</t>
  </si>
  <si>
    <t>202401-4-299-2005</t>
  </si>
  <si>
    <t>202401-4-300-2002</t>
  </si>
  <si>
    <t>202401-4-301-2001</t>
  </si>
  <si>
    <t>202401-4-302-2000</t>
  </si>
  <si>
    <t>202401-4-303-2009</t>
  </si>
  <si>
    <t>202401-4-304-2008</t>
  </si>
  <si>
    <t>202401-4-305-2007</t>
  </si>
  <si>
    <t>202401-4-306-2006</t>
  </si>
  <si>
    <t>202401-4-307-2005</t>
  </si>
  <si>
    <t>202401-4-308-2004</t>
  </si>
  <si>
    <t>202401-4-309-2003</t>
  </si>
  <si>
    <t>202401-4-310-2000</t>
  </si>
  <si>
    <t>202401-4-311-2009</t>
  </si>
  <si>
    <t>202401-4-312-2008</t>
  </si>
  <si>
    <t>202401-4-313-2007</t>
  </si>
  <si>
    <t>202401-4-314-2006</t>
  </si>
  <si>
    <t>202401-4-315-2005</t>
  </si>
  <si>
    <t>202401-4-316-2004</t>
  </si>
  <si>
    <t>202401-4-317-2003</t>
  </si>
  <si>
    <t>202401-4-318-2002</t>
  </si>
  <si>
    <t>202401-4-319-2001</t>
  </si>
  <si>
    <t>202401-4-320-2008</t>
  </si>
  <si>
    <t>202401-4-321-2007</t>
  </si>
  <si>
    <t>202401-4-322-2006</t>
  </si>
  <si>
    <t>202401-4-323-2005</t>
  </si>
  <si>
    <t>202401-4-324-2004</t>
  </si>
  <si>
    <t>202401-4-325-2003</t>
  </si>
  <si>
    <t>202401-4-326-2002</t>
  </si>
  <si>
    <t>202401-4-327-2001</t>
  </si>
  <si>
    <t>202401-4-328-2000</t>
  </si>
  <si>
    <t>202401-4-329-2009</t>
  </si>
  <si>
    <t>202401-4-330-2006</t>
  </si>
  <si>
    <t>202401-4-331-2005</t>
  </si>
  <si>
    <t>202401-4-332-2004</t>
  </si>
  <si>
    <t>202401-4-333-2003</t>
  </si>
  <si>
    <t>202401-4-334-2002</t>
  </si>
  <si>
    <t>202401-4-335-2001</t>
  </si>
  <si>
    <t>202401-4-336-2000</t>
  </si>
  <si>
    <t>202401-4-337-2009</t>
  </si>
  <si>
    <t>202401-4-338-2008</t>
  </si>
  <si>
    <t>202401-4-339-2007</t>
  </si>
  <si>
    <t>202401-4-340-2004</t>
  </si>
  <si>
    <t>202401-4-341-2003</t>
  </si>
  <si>
    <t>202401-4-342-2002</t>
  </si>
  <si>
    <t>202401-4-343-2001</t>
  </si>
  <si>
    <t>202401-4-344-2000</t>
  </si>
  <si>
    <t>202401-4-345-2009</t>
  </si>
  <si>
    <t>202401-4-346-2008</t>
  </si>
  <si>
    <t>202401-4-347-2007</t>
  </si>
  <si>
    <t>202401-4-348-2006</t>
  </si>
  <si>
    <t>202401-4-349-2005</t>
  </si>
  <si>
    <t>202401-4-350-2001</t>
  </si>
  <si>
    <t>202401-4-351-2000</t>
  </si>
  <si>
    <t>202401-4-352-2009</t>
  </si>
  <si>
    <t>202401-4-353-2008</t>
  </si>
  <si>
    <t>202401-4-354-2007</t>
  </si>
  <si>
    <t>202401-4-355-2006</t>
  </si>
  <si>
    <t>202401-4-356-2005</t>
  </si>
  <si>
    <t>202401-4-357-2004</t>
  </si>
  <si>
    <t>202401-4-358-2003</t>
  </si>
  <si>
    <t>202401-4-359-2002</t>
  </si>
  <si>
    <t>202401-4-360-2009</t>
  </si>
  <si>
    <t>202401-4-361-2008</t>
  </si>
  <si>
    <t>202401-4-363-2006</t>
  </si>
  <si>
    <t xml:space="preserve">HARBOR CUSTOM DEVELOPMENT INC       </t>
  </si>
  <si>
    <t>202401-4-365-2004</t>
  </si>
  <si>
    <t>202401-4-366-2003</t>
  </si>
  <si>
    <t>202401-4-367-2002</t>
  </si>
  <si>
    <t>2021EX03686</t>
  </si>
  <si>
    <t>302402-1-021-2003</t>
  </si>
  <si>
    <t>Fourplex Horstman</t>
  </si>
  <si>
    <t>OLYMPIC ORCHARD PROPERTY MANAG</t>
  </si>
  <si>
    <t>MAXWELL-GREER MARIE E &amp; GREER DANIEL</t>
  </si>
  <si>
    <t xml:space="preserve">459- Totally esmt encumbered  </t>
  </si>
  <si>
    <t xml:space="preserve">Beach Drive                   </t>
  </si>
  <si>
    <t>302402-1-055-2002</t>
  </si>
  <si>
    <t>2021EX03813</t>
  </si>
  <si>
    <t>STOVALL ROSCOE JR &amp; SHERYL</t>
  </si>
  <si>
    <t>MOORE ROBERT I &amp; DIXIE</t>
  </si>
  <si>
    <t>9000-010-495-0002</t>
  </si>
  <si>
    <t xml:space="preserve">STOVALL ROSCOE JR &amp; SHERYL          </t>
  </si>
  <si>
    <t xml:space="preserve">MOORE ROBERT I &amp; DIXIE              </t>
  </si>
  <si>
    <t>2021EX03977</t>
  </si>
  <si>
    <t>4609-000-004-0300</t>
  </si>
  <si>
    <t>The Club house PO (1 of 2)</t>
  </si>
  <si>
    <t>FPA5 SOUTH PARK GREENS LLC</t>
  </si>
  <si>
    <t>FPA/WC CLUBHOUSE LLC</t>
  </si>
  <si>
    <t>4609-000-004-0904</t>
  </si>
  <si>
    <t>The Club house PO (2 of 2)</t>
  </si>
  <si>
    <t>2021EX03985</t>
  </si>
  <si>
    <t>TERRY MORGAN PIPER</t>
  </si>
  <si>
    <t>MURPHY MARGARET L</t>
  </si>
  <si>
    <t>9000-010-523-0008</t>
  </si>
  <si>
    <t xml:space="preserve">TERRY MORGAN PIPER                  </t>
  </si>
  <si>
    <t xml:space="preserve">MURPHY MARGARET L                   </t>
  </si>
  <si>
    <t>2021EX04163</t>
  </si>
  <si>
    <t>3738-001-001-0000</t>
  </si>
  <si>
    <t>Parking Lot for 002-00</t>
  </si>
  <si>
    <t xml:space="preserve">AMERICAN NATIONAL RED CROSS         </t>
  </si>
  <si>
    <t xml:space="preserve">KITSAP PROPERTY GROUP LLC           </t>
  </si>
  <si>
    <t>3738-001-002-0009</t>
  </si>
  <si>
    <t>Vet Industries Office</t>
  </si>
  <si>
    <t>AMERICAN NATIONAL RED CROSS</t>
  </si>
  <si>
    <t>KITSAP PROPERTY GROUP LLC</t>
  </si>
  <si>
    <t>2021EX04334</t>
  </si>
  <si>
    <t>3760-000-006-0008</t>
  </si>
  <si>
    <t>4-plex East bldg 2 of 2</t>
  </si>
  <si>
    <t>NEWTON JACK TYLER &amp; ANNA KATHE</t>
  </si>
  <si>
    <t>2021EX05065</t>
  </si>
  <si>
    <t>4366-016-008-0008</t>
  </si>
  <si>
    <t>Fourplex 1 of 2</t>
  </si>
  <si>
    <t>DG SPANAWAY LLC</t>
  </si>
  <si>
    <t>4366-016-011-0003</t>
  </si>
  <si>
    <t>2021EX05198</t>
  </si>
  <si>
    <t>182501-4-026-2008</t>
  </si>
  <si>
    <t>BL Dickey Rd near Discovery Ridge</t>
  </si>
  <si>
    <t>DICKEY WOOD LLC</t>
  </si>
  <si>
    <t>STONERIDGE WASHINGTON LLC</t>
  </si>
  <si>
    <t>192501-1-023-2006</t>
  </si>
  <si>
    <t>BL-Dickey Rd</t>
  </si>
  <si>
    <t>2021EX05229</t>
  </si>
  <si>
    <t xml:space="preserve">Pt. Gamble Bay WF-COM         </t>
  </si>
  <si>
    <t>052702-3-004-2008</t>
  </si>
  <si>
    <t>BL Lower wft site at east of town</t>
  </si>
  <si>
    <t xml:space="preserve">CO--RHTW                      </t>
  </si>
  <si>
    <t xml:space="preserve">OPG PORT GAMBLE LLC                 </t>
  </si>
  <si>
    <t xml:space="preserve">PORT GAMBLE SKLALLAM TRIBE          </t>
  </si>
  <si>
    <t>082702-2-003-2008</t>
  </si>
  <si>
    <t>Shed E of St Hwy 104, South of Town</t>
  </si>
  <si>
    <t>2021EX05290</t>
  </si>
  <si>
    <t>3966-003-001-1304</t>
  </si>
  <si>
    <t>Peninsula Medical Bldg</t>
  </si>
  <si>
    <t>BAY-VU INVESTMENTS</t>
  </si>
  <si>
    <t>2021EX05746</t>
  </si>
  <si>
    <t>102601-2-055-2003</t>
  </si>
  <si>
    <t>Lot 5D BL - College Marketplace</t>
  </si>
  <si>
    <t>OHALVA FLEX LLC</t>
  </si>
  <si>
    <t>102601-2-056-2002</t>
  </si>
  <si>
    <t>Lot 5E  BL - College Marketplace</t>
  </si>
  <si>
    <t>2021EX06118</t>
  </si>
  <si>
    <t>352401-3-077-2008</t>
  </si>
  <si>
    <t>Keyway Apts Phase I - 156 units</t>
  </si>
  <si>
    <t>BRIXTON NSE PORT ORCHARD FEE O</t>
  </si>
  <si>
    <t>BOURGEOIS PORT ORCHARD LLC ET AL</t>
  </si>
  <si>
    <t>352401-3-078-2007</t>
  </si>
  <si>
    <t>Keyway Apts Phase II-120 units</t>
  </si>
  <si>
    <t>2021EX06397</t>
  </si>
  <si>
    <t>3992-001-001-0209</t>
  </si>
  <si>
    <t>Viewcrest Village Apartment EXEMPT PTN</t>
  </si>
  <si>
    <t xml:space="preserve">BR--R40 High Density Resident </t>
  </si>
  <si>
    <t>VIEWCREST ALLIANCE APTS LLC</t>
  </si>
  <si>
    <t>POST VIEWCREST LP</t>
  </si>
  <si>
    <t>3992-001-001-0407</t>
  </si>
  <si>
    <t>Viewcrest Village Apartment Taxable portion</t>
  </si>
  <si>
    <t>2021EX06437</t>
  </si>
  <si>
    <t>8151-000-401-0005</t>
  </si>
  <si>
    <t>The Meridian on BI - Unit 401</t>
  </si>
  <si>
    <t>BAYS PATRICK</t>
  </si>
  <si>
    <t>MPM BI LLC</t>
  </si>
  <si>
    <t>8151-000-402-0004</t>
  </si>
  <si>
    <t>The Meridian on BI - Unit 402</t>
  </si>
  <si>
    <t>2021EX06761</t>
  </si>
  <si>
    <t>012301-4-009-2000</t>
  </si>
  <si>
    <t>Church of Christ-empt ptn</t>
  </si>
  <si>
    <t xml:space="preserve">PORT ORCHARD CHURCH OF CHRIST       </t>
  </si>
  <si>
    <t>012301-4-061-2005</t>
  </si>
  <si>
    <t>Church of Christ-txbl ptn</t>
  </si>
  <si>
    <t>2021EX06829</t>
  </si>
  <si>
    <t>MCCANN CARRIE</t>
  </si>
  <si>
    <t>PURVES WAYNE A &amp; CATHERINE SWANSON</t>
  </si>
  <si>
    <t>9000-000-067-0001</t>
  </si>
  <si>
    <t xml:space="preserve">MCCANN CARRIE                       </t>
  </si>
  <si>
    <t xml:space="preserve">PURVES WAYNE A &amp; CATHERINE SWANSON  </t>
  </si>
  <si>
    <t>2021EX07356</t>
  </si>
  <si>
    <t>STERLING ESTATES INC</t>
  </si>
  <si>
    <t>2021EX07573</t>
  </si>
  <si>
    <t>4060-004-025-0002</t>
  </si>
  <si>
    <t>SEASWIRL III LLC</t>
  </si>
  <si>
    <t>PARDUN THOMAS &amp; HEIKE</t>
  </si>
  <si>
    <t>4060-004-030-0005</t>
  </si>
  <si>
    <t>4060-005-001-0205</t>
  </si>
  <si>
    <t>BL near Bethel</t>
  </si>
  <si>
    <t xml:space="preserve">PARDUN THOMAS &amp; HEIKE               </t>
  </si>
  <si>
    <t>4060-005-029-0005</t>
  </si>
  <si>
    <t>4060-005-036-0006</t>
  </si>
  <si>
    <t>4060-005-037-0005</t>
  </si>
  <si>
    <t>4060-005-038-0004</t>
  </si>
  <si>
    <t>4060-005-039-0003</t>
  </si>
  <si>
    <t>4060-005-040-0000</t>
  </si>
  <si>
    <t>BL west of Bethel</t>
  </si>
  <si>
    <t>2021EX07993</t>
  </si>
  <si>
    <t>302501-1-021-2003</t>
  </si>
  <si>
    <t>Warehouse on Newberry Hill Rd.</t>
  </si>
  <si>
    <t>5451 NEWBERRY HILL RD LLC &amp;</t>
  </si>
  <si>
    <t>302501-1-022-2002</t>
  </si>
  <si>
    <t>Warehouse off Newberry Hill Rd.</t>
  </si>
  <si>
    <t>2021EX08347</t>
  </si>
  <si>
    <t>022401-2-032-1005</t>
  </si>
  <si>
    <t>Wildcat Lake Grocery</t>
  </si>
  <si>
    <t>CHOAH CORP</t>
  </si>
  <si>
    <t>MKGI LLC</t>
  </si>
  <si>
    <t>5278-000-010-0002</t>
  </si>
  <si>
    <t>Esmt, contig w Wildcat Lake Grocery</t>
  </si>
  <si>
    <t>2021EX08616</t>
  </si>
  <si>
    <t>202501-1-080-2003</t>
  </si>
  <si>
    <t>Silverdale Village Shopping Ctr</t>
  </si>
  <si>
    <t>MENTOR JOSEPH P ESTATE &amp; EAGLE</t>
  </si>
  <si>
    <t>RHINO HOLDINGS SILVERDALE VILLAGE LL</t>
  </si>
  <si>
    <t>4459-000-005-0003</t>
  </si>
  <si>
    <t>land fronting Silverdale Way</t>
  </si>
  <si>
    <t>4459-000-005-0102</t>
  </si>
  <si>
    <t>BL 1 lot off of Silverdale Way</t>
  </si>
  <si>
    <t>4459-000-005-0201</t>
  </si>
  <si>
    <t>BL 2 lots off of Silverdale Way</t>
  </si>
  <si>
    <t>2021EX08850</t>
  </si>
  <si>
    <t xml:space="preserve">Gunderson                     </t>
  </si>
  <si>
    <t>052602-3-052-2000</t>
  </si>
  <si>
    <t>A &amp; L TOPSOIL</t>
  </si>
  <si>
    <t>PAN PACIFIC AGGREGATES CORP</t>
  </si>
  <si>
    <t>052602-3-053-2009</t>
  </si>
  <si>
    <t>BL-Mining</t>
  </si>
  <si>
    <t>2021EX09079</t>
  </si>
  <si>
    <t>172501-1-054-2000</t>
  </si>
  <si>
    <t>Taxable Ptn</t>
  </si>
  <si>
    <t>BOYD SILVERDALE GSA LLC</t>
  </si>
  <si>
    <t>TEP SILVERDALE WASHINGTON LLC</t>
  </si>
  <si>
    <t>172501-1-054-2109</t>
  </si>
  <si>
    <t>Exempt Ptn</t>
  </si>
  <si>
    <t>2021EX09272</t>
  </si>
  <si>
    <t>8172-005-010-0002</t>
  </si>
  <si>
    <t>Harbor Square Condo -R10</t>
  </si>
  <si>
    <t>HORNER WILLIAM SCOTT</t>
  </si>
  <si>
    <t>THE EYRIE</t>
  </si>
  <si>
    <t xml:space="preserve">502- Parking condo            </t>
  </si>
  <si>
    <t xml:space="preserve">Bainbridge Condos             </t>
  </si>
  <si>
    <t>8172-009-032-0008</t>
  </si>
  <si>
    <t xml:space="preserve">HORNER WILLIAM SCOTT                </t>
  </si>
  <si>
    <t xml:space="preserve">THE EYRIE                           </t>
  </si>
  <si>
    <t>8172-009-035-0005</t>
  </si>
  <si>
    <t>2021EX09400</t>
  </si>
  <si>
    <t xml:space="preserve">750- Resorts/group camps      </t>
  </si>
  <si>
    <t xml:space="preserve">Island Lake-COM               </t>
  </si>
  <si>
    <t>102501-1-016-2004</t>
  </si>
  <si>
    <t>Island Lake Bible Camp</t>
  </si>
  <si>
    <t>CRISTA MINISTRIES</t>
  </si>
  <si>
    <t>MEADOW VIEW KITSAP LLC</t>
  </si>
  <si>
    <t xml:space="preserve">Silverdale UGA                </t>
  </si>
  <si>
    <t>102501-2-001-2009</t>
  </si>
  <si>
    <t>102501-2-002-2008</t>
  </si>
  <si>
    <t>102501-2-004-2006</t>
  </si>
  <si>
    <t>2021EX09420</t>
  </si>
  <si>
    <t>142501-3-032-2006</t>
  </si>
  <si>
    <t xml:space="preserve">ROSS LILLIAN NADEAN &amp; ROYAL VA      </t>
  </si>
  <si>
    <t xml:space="preserve">ROYAL VALLEY LAND LLC &amp; POULSBO LLC </t>
  </si>
  <si>
    <t>142501-3-033-2005</t>
  </si>
  <si>
    <t>142501-3-034-2004</t>
  </si>
  <si>
    <t xml:space="preserve">CO--UCR                       </t>
  </si>
  <si>
    <t>ROSS LILLIAN NADEAN &amp; ROYAL VA</t>
  </si>
  <si>
    <t>ROYAL VALLEY LAND LLC &amp; POULSBO LLC</t>
  </si>
  <si>
    <t>142501-3-035-2003</t>
  </si>
  <si>
    <t>142501-4-005-2007</t>
  </si>
  <si>
    <t>142501-4-040-2004</t>
  </si>
  <si>
    <t>142501-4-042-2002</t>
  </si>
  <si>
    <t>142501-4-043-2001</t>
  </si>
  <si>
    <t>142501-4-045-2009</t>
  </si>
  <si>
    <t>142501-4-046-2008</t>
  </si>
  <si>
    <t>142501-4-047-2007</t>
  </si>
  <si>
    <t>142501-4-048-2006</t>
  </si>
  <si>
    <t>142501-4-049-2005</t>
  </si>
  <si>
    <t>2021EX09505</t>
  </si>
  <si>
    <t>102601-1-034-2001</t>
  </si>
  <si>
    <t>Lot 5N BL - College Market Place</t>
  </si>
  <si>
    <t>102601-1-035-2000</t>
  </si>
  <si>
    <t>Lot 5O  BL College Marketplace</t>
  </si>
  <si>
    <t>102601-1-036-2009</t>
  </si>
  <si>
    <t>Lot 5P  BL College Marketplace</t>
  </si>
  <si>
    <t>102601-2-059-2009</t>
  </si>
  <si>
    <t>Lot 5H  BL - College Marketplace</t>
  </si>
  <si>
    <t>102601-2-061-2005</t>
  </si>
  <si>
    <t>Lot 5J  BL - College Marketplace</t>
  </si>
  <si>
    <t>2021EX09735</t>
  </si>
  <si>
    <t>012601-4-060-2003</t>
  </si>
  <si>
    <t>Warehouse off Bond Rd</t>
  </si>
  <si>
    <t>B &amp; C PROPERTIES INC</t>
  </si>
  <si>
    <t>ULLRICH FRANK OFFUTT &amp; GEORGENE HELE</t>
  </si>
  <si>
    <t>012601-4-061-2002</t>
  </si>
  <si>
    <t>Warehouses off Bond Rd</t>
  </si>
  <si>
    <t>2021EX10333</t>
  </si>
  <si>
    <t>262502-3-171-2002</t>
  </si>
  <si>
    <t>BL-Parking contig w/ 3-172</t>
  </si>
  <si>
    <t xml:space="preserve">SANDSTROM PROPERTIES LLC            </t>
  </si>
  <si>
    <t xml:space="preserve">CANUCK CERISE LLC                   </t>
  </si>
  <si>
    <t>262502-3-172-2001</t>
  </si>
  <si>
    <t>Former Drug Store with Apt Above</t>
  </si>
  <si>
    <t>262502-3-173-2000</t>
  </si>
  <si>
    <t>Portion of Retail w of mall</t>
  </si>
  <si>
    <t>262502-3-174-2009</t>
  </si>
  <si>
    <t>Winslow mall and retail @ NW corner</t>
  </si>
  <si>
    <t>SANDSTROM PROPERTIES LLC</t>
  </si>
  <si>
    <t>CANUCK CERISE LLC</t>
  </si>
  <si>
    <t>2021EX10343</t>
  </si>
  <si>
    <t>3718-017-035-0000</t>
  </si>
  <si>
    <t>Kitsap Bank parking garage W 037</t>
  </si>
  <si>
    <t>KITSAP BANK</t>
  </si>
  <si>
    <t>MAJU RAWAN K</t>
  </si>
  <si>
    <t>3718-017-037-0008</t>
  </si>
  <si>
    <t>Former Kitsap Bank</t>
  </si>
  <si>
    <t>2021EX10843</t>
  </si>
  <si>
    <t>3717-002-019-0102</t>
  </si>
  <si>
    <t>Parking for repair garage w/021-00</t>
  </si>
  <si>
    <t xml:space="preserve">MCDONALD WILLIAM T                  </t>
  </si>
  <si>
    <t xml:space="preserve">BROTHERS AUTO REPAIR LLC            </t>
  </si>
  <si>
    <t>3717-002-021-0009</t>
  </si>
  <si>
    <t>500 Naval, Quality Tires w/023-01</t>
  </si>
  <si>
    <t>3717-002-023-0106</t>
  </si>
  <si>
    <t>5th St. - Storage for Quality Tires</t>
  </si>
  <si>
    <t>2021EX11197</t>
  </si>
  <si>
    <t>232502-3-092-2001</t>
  </si>
  <si>
    <t>BL Wintergreen Ln and HS Rd.</t>
  </si>
  <si>
    <t xml:space="preserve">BI--HS-2                      </t>
  </si>
  <si>
    <t>VWA-BI-LOTS LLC</t>
  </si>
  <si>
    <t>WINTERGREEN TOWNHOMES LLC</t>
  </si>
  <si>
    <t>2022EX00006</t>
  </si>
  <si>
    <t>8172-007-001-0009</t>
  </si>
  <si>
    <t>Harbor Square Condo -R6</t>
  </si>
  <si>
    <t xml:space="preserve">GROMAN JEFFERY L &amp; HEIJNE CORN      </t>
  </si>
  <si>
    <t xml:space="preserve">ROLLING BAY RENTALS LLC             </t>
  </si>
  <si>
    <t>8172-007-002-0008</t>
  </si>
  <si>
    <t>Harbor Square Condo -R7</t>
  </si>
  <si>
    <t>8172-009-025-0007</t>
  </si>
  <si>
    <t>2022EX00024</t>
  </si>
  <si>
    <t>5277-000-001-0004</t>
  </si>
  <si>
    <t>The View at Manette (1 of 4)</t>
  </si>
  <si>
    <t>BREMERTON FEE OWNER LLC</t>
  </si>
  <si>
    <t>ETHOS SEAGLASS LLC</t>
  </si>
  <si>
    <t>5277-000-002-0102</t>
  </si>
  <si>
    <t>The View at Manette (2 of 4)</t>
  </si>
  <si>
    <t>5277-000-003-0002</t>
  </si>
  <si>
    <t>BL off lower Wheaton Way</t>
  </si>
  <si>
    <t xml:space="preserve">BR--CCR                       </t>
  </si>
  <si>
    <t>5277-000-005-0000</t>
  </si>
  <si>
    <t>5277-000-006-0009</t>
  </si>
  <si>
    <t>The View at Manette - Garages (3 of 4)</t>
  </si>
  <si>
    <t>5277-000-007-0008</t>
  </si>
  <si>
    <t>BL -Former Maple Leaf Tavern</t>
  </si>
  <si>
    <t>5277-000-008-0007</t>
  </si>
  <si>
    <t>The View at Manette Apts (1 of 4) BL Comm Area</t>
  </si>
  <si>
    <t>2022EX00036</t>
  </si>
  <si>
    <t>222601-2-127-2003</t>
  </si>
  <si>
    <t>economic unit with 127-2102</t>
  </si>
  <si>
    <t>GADIENT ETIENNE ROBERT TRUSTEE</t>
  </si>
  <si>
    <t>18941 VIKING AVE NW LLC</t>
  </si>
  <si>
    <t>222601-2-127-2102</t>
  </si>
  <si>
    <t>economic unit w/127-2003</t>
  </si>
  <si>
    <t xml:space="preserve">CO--RL                        </t>
  </si>
  <si>
    <t>2022EX00183</t>
  </si>
  <si>
    <t>142601-3-095-2009</t>
  </si>
  <si>
    <t>Pkg for Frontier Bank employees 081</t>
  </si>
  <si>
    <t xml:space="preserve">OLHAVA LLC &amp; JAMES A &amp; LINDA B      </t>
  </si>
  <si>
    <t xml:space="preserve">CPI/AHP POULSBO MOB OWNER LLC       </t>
  </si>
  <si>
    <t>142601-3-096-2008</t>
  </si>
  <si>
    <t>Creekside Office Center-Taxable ptn</t>
  </si>
  <si>
    <t>OLHAVA LLC &amp; JAMES A &amp; LINDA B</t>
  </si>
  <si>
    <t>CPI/AHP POULSBO MOB OWNER LLC</t>
  </si>
  <si>
    <t>142601-3-096-2107</t>
  </si>
  <si>
    <t>Creekside Office Center-Exempt ptn</t>
  </si>
  <si>
    <t>2022EX00184</t>
  </si>
  <si>
    <t>052401-3-106-2009</t>
  </si>
  <si>
    <t>Garage on Chico Way</t>
  </si>
  <si>
    <t>DMS ENTERPRISES LLC &amp; DMS ENTE</t>
  </si>
  <si>
    <t>CHICO WAY APARTMENTS LLC</t>
  </si>
  <si>
    <t>052401-3-107-2008</t>
  </si>
  <si>
    <t>Apartments, SFR, and small retail</t>
  </si>
  <si>
    <t>2022EX00285</t>
  </si>
  <si>
    <t>352401-4-002-2006</t>
  </si>
  <si>
    <t>ravine to Black Jack Creek, contig w/4625-00-013-0002</t>
  </si>
  <si>
    <t>VAN CLEEF JAMES J &amp; CELESTE</t>
  </si>
  <si>
    <t>HCDI BRIDGE VIEW LLC</t>
  </si>
  <si>
    <t>4625-000-013-0002</t>
  </si>
  <si>
    <t>proposed Bridgeview Trails Apts</t>
  </si>
  <si>
    <t>2022EX00677</t>
  </si>
  <si>
    <t>SCHWOCH LARRY &amp; BARBARA</t>
  </si>
  <si>
    <t>POWER STONE RE LLC ET AL</t>
  </si>
  <si>
    <t>142401-3-019-2004</t>
  </si>
  <si>
    <t>2209 4th Street Apartments</t>
  </si>
  <si>
    <t>3702-001-002-0001</t>
  </si>
  <si>
    <t xml:space="preserve">SCHWOCH LARRY &amp; BARBARA             </t>
  </si>
  <si>
    <t xml:space="preserve">POWER STONE RE LLC ET AL            </t>
  </si>
  <si>
    <t>3702-002-004-0007</t>
  </si>
  <si>
    <t>3702-002-008-0003</t>
  </si>
  <si>
    <t>3702-002-012-0007</t>
  </si>
  <si>
    <t>3702-003-008-0001</t>
  </si>
  <si>
    <t>3703-002-003-0007</t>
  </si>
  <si>
    <t>3703-002-004-0006</t>
  </si>
  <si>
    <t>3703-005-001-0002</t>
  </si>
  <si>
    <t>3712-001-016-0003</t>
  </si>
  <si>
    <t>627 HIGHLAND APTS</t>
  </si>
  <si>
    <t>3715-000-009-0209</t>
  </si>
  <si>
    <t>3715-000-009-0308</t>
  </si>
  <si>
    <t>3715-000-014-0202</t>
  </si>
  <si>
    <t>3715-000-014-0301</t>
  </si>
  <si>
    <t>3785-002-003-0008</t>
  </si>
  <si>
    <t>Triplex fronts Gregory &amp; alley</t>
  </si>
  <si>
    <t xml:space="preserve">West Bremerton Unincorporated </t>
  </si>
  <si>
    <t>3787-000-020-0207</t>
  </si>
  <si>
    <t>3787-000-020-0306</t>
  </si>
  <si>
    <t>3797-020-007-0002</t>
  </si>
  <si>
    <t>2 duplexes 9th &amp; Hewitt</t>
  </si>
  <si>
    <t>3799-010-002-0006</t>
  </si>
  <si>
    <t>2 DUPLEX @ 1506 9TH ST</t>
  </si>
  <si>
    <t>3810-001-003-0108</t>
  </si>
  <si>
    <t>3810-001-006-0006</t>
  </si>
  <si>
    <t>3810-001-008-0004</t>
  </si>
  <si>
    <t>3811-006-001-0009</t>
  </si>
  <si>
    <t>Veneta Apartments</t>
  </si>
  <si>
    <t>3964-000-001-0007</t>
  </si>
  <si>
    <t>114 Lebo Apartments w/020-00</t>
  </si>
  <si>
    <t xml:space="preserve">East Bremerton Uplands City   </t>
  </si>
  <si>
    <t>3964-000-019-0007</t>
  </si>
  <si>
    <t>Duplex + Conv Gar/Apt</t>
  </si>
  <si>
    <t>3964-000-020-0004</t>
  </si>
  <si>
    <t>114 Lebo Apts II w/ 001-00</t>
  </si>
  <si>
    <t>3964-000-045-0005</t>
  </si>
  <si>
    <t>3964-000-072-0308</t>
  </si>
  <si>
    <t>3968-006-004-0007</t>
  </si>
  <si>
    <t>3968-008-010-0005</t>
  </si>
  <si>
    <t>3973-001-003-0002</t>
  </si>
  <si>
    <t>3973-001-004-0001</t>
  </si>
  <si>
    <t>3973-002-003-0000</t>
  </si>
  <si>
    <t>3973-002-004-0009</t>
  </si>
  <si>
    <t>3973-002-005-0008</t>
  </si>
  <si>
    <t>4463-000-006-0105</t>
  </si>
  <si>
    <t>Shoreplace Townhouse Apts 1 of 4</t>
  </si>
  <si>
    <t>4463-000-006-0204</t>
  </si>
  <si>
    <t>Shoreplace Townhouse Apts (2 of 4)</t>
  </si>
  <si>
    <t>4463-000-007-0005</t>
  </si>
  <si>
    <t>Shoreplace Townhouse Apts (3 of 4)</t>
  </si>
  <si>
    <t>4463-000-007-0104</t>
  </si>
  <si>
    <t>Shoreplace Townhouse Apts 4 of 4</t>
  </si>
  <si>
    <t>2022EX00683</t>
  </si>
  <si>
    <t>102601-1-042-2001</t>
  </si>
  <si>
    <t>Lot 5R Cell service switch facility</t>
  </si>
  <si>
    <t xml:space="preserve">486- Stormwater retention     </t>
  </si>
  <si>
    <t>102601-1-043-2000</t>
  </si>
  <si>
    <t>Lot 5S Retention Pond</t>
  </si>
  <si>
    <t>102601-1-044-2009</t>
  </si>
  <si>
    <t>Lot 5T Retention Pond</t>
  </si>
  <si>
    <t xml:space="preserve">Poulsbo                       </t>
  </si>
  <si>
    <t>102601-1-046-2007</t>
  </si>
  <si>
    <t>2022EX00836</t>
  </si>
  <si>
    <t xml:space="preserve">SK Hwy 3 Corridor             </t>
  </si>
  <si>
    <t>282401-3-021-2004</t>
  </si>
  <si>
    <t xml:space="preserve">JA JACK &amp; SONS INC                  </t>
  </si>
  <si>
    <t xml:space="preserve">LOCKHART PATRICK M &amp; CHERYL A       </t>
  </si>
  <si>
    <t>322401-1-118-2006</t>
  </si>
  <si>
    <t>332401-2-008-2006</t>
  </si>
  <si>
    <t>332401-2-014-2008</t>
  </si>
  <si>
    <t>BL w/32-1-008</t>
  </si>
  <si>
    <t>JA JACK &amp; SONS INC</t>
  </si>
  <si>
    <t>LOCKHART PATRICK M &amp; CHERYL A</t>
  </si>
  <si>
    <t>2022EX00840</t>
  </si>
  <si>
    <t>162501-3-144-2009</t>
  </si>
  <si>
    <t>Creekside Ofc- Fidelity National</t>
  </si>
  <si>
    <t>KITSAP CREST LLC</t>
  </si>
  <si>
    <t>THE 2013 OAK KOO KIM AND YOUNG HEE J</t>
  </si>
  <si>
    <t>162501-3-145-2008</t>
  </si>
  <si>
    <t>Creekside Office Park</t>
  </si>
  <si>
    <t>2022EX00914</t>
  </si>
  <si>
    <t>132501-3-023-2008</t>
  </si>
  <si>
    <t>Crystal Grange</t>
  </si>
  <si>
    <t>CRYSTAL GRANGE NO 1126</t>
  </si>
  <si>
    <t>FREE GRACE BAPTIST CHURCH</t>
  </si>
  <si>
    <t>2022EX01138</t>
  </si>
  <si>
    <t>SEQUOIA SPRING III LLC</t>
  </si>
  <si>
    <t>2022EX01217</t>
  </si>
  <si>
    <t>102601-1-047-2006</t>
  </si>
  <si>
    <t>College Marketplace Apartments</t>
  </si>
  <si>
    <t>THE LANDING AT COLLEGE MARKETPLACE L</t>
  </si>
  <si>
    <t>102601-1-048-2005</t>
  </si>
  <si>
    <t>The Landing at College Marketplace Apartments</t>
  </si>
  <si>
    <t>2022EX01468</t>
  </si>
  <si>
    <t>4650-014-003-0003</t>
  </si>
  <si>
    <t>Brick House  Bar and Grill</t>
  </si>
  <si>
    <t xml:space="preserve">FORE INVESTMENT LLC                 </t>
  </si>
  <si>
    <t xml:space="preserve">BLUE BAY STREET LLC                 </t>
  </si>
  <si>
    <t>4650-014-003-0102</t>
  </si>
  <si>
    <t>BL between Prospect and Bay</t>
  </si>
  <si>
    <t>2022EX01549</t>
  </si>
  <si>
    <t>3777-008-001-0007</t>
  </si>
  <si>
    <t>Kitsap Wy &amp; National -Rocket Coffee</t>
  </si>
  <si>
    <t xml:space="preserve">WAWE REAL ESTATE LLC                </t>
  </si>
  <si>
    <t xml:space="preserve">JAMIL JORDAN LLC                    </t>
  </si>
  <si>
    <t>3783-009-001-0007</t>
  </si>
  <si>
    <t>freestanding retail store</t>
  </si>
  <si>
    <t>2022EX02347</t>
  </si>
  <si>
    <t xml:space="preserve">545- Chain-type groceries     </t>
  </si>
  <si>
    <t>262502-2-095-2007</t>
  </si>
  <si>
    <t>Safeway</t>
  </si>
  <si>
    <t>PNW ISLAND VILLAGE LLC</t>
  </si>
  <si>
    <t>ISLAND VILLAGE REGENCY LLC</t>
  </si>
  <si>
    <t>262502-2-096-2006</t>
  </si>
  <si>
    <t>E and F</t>
  </si>
  <si>
    <t>262502-2-097-2005</t>
  </si>
  <si>
    <t>C and D</t>
  </si>
  <si>
    <t>262502-2-097-2104</t>
  </si>
  <si>
    <t>BO-Rite Aid</t>
  </si>
  <si>
    <t>2022EX02628</t>
  </si>
  <si>
    <t>ISLANDER RESIDENTS ASSOCIATION</t>
  </si>
  <si>
    <t>MADISON PLACE LLC</t>
  </si>
  <si>
    <t>5680-000-019-0005</t>
  </si>
  <si>
    <t xml:space="preserve">ISLANDER RESIDENTS ASSOCIATION      </t>
  </si>
  <si>
    <t xml:space="preserve">MADISON PLACE LLC                   </t>
  </si>
  <si>
    <t>2022EX02640</t>
  </si>
  <si>
    <t>042602-1-004-2004</t>
  </si>
  <si>
    <t xml:space="preserve">ARNESS HOLDINGS LLC &amp; TODD LAR      </t>
  </si>
  <si>
    <t xml:space="preserve">PENINSULA TOPSOIL LLC               </t>
  </si>
  <si>
    <t xml:space="preserve">Indianola                     </t>
  </si>
  <si>
    <t>042602-2-001-2005</t>
  </si>
  <si>
    <t>ARNESS HOLDINGS LLC &amp; TODD LAR</t>
  </si>
  <si>
    <t>PENINSULA TOPSOIL LLC</t>
  </si>
  <si>
    <t>042602-2-002-2004</t>
  </si>
  <si>
    <t>042602-2-016-2008</t>
  </si>
  <si>
    <t>2022EX02849</t>
  </si>
  <si>
    <t>312402-1-070-2002</t>
  </si>
  <si>
    <t>Whse &amp; Mini Storage Mile Hill Dr.</t>
  </si>
  <si>
    <t>MILE HILL PROFESSIONAL HEATED</t>
  </si>
  <si>
    <t>GALLOPING H STABLES AND FARM LLC</t>
  </si>
  <si>
    <t>312402-1-071-2001</t>
  </si>
  <si>
    <t>Mile Hill Prof Pk. Bldg C Mini-stg.</t>
  </si>
  <si>
    <t>312402-1-072-2000</t>
  </si>
  <si>
    <t>Mile Hill Prof Pk. Bldg D Mini-stg.</t>
  </si>
  <si>
    <t>2022EX03324</t>
  </si>
  <si>
    <t>252401-3-040-2004</t>
  </si>
  <si>
    <t>Fourplex Dwight St- Horning project</t>
  </si>
  <si>
    <t>HORNING SPENCER H &amp; FRAN H</t>
  </si>
  <si>
    <t>DWIGHT STREET PARTNERSHIP</t>
  </si>
  <si>
    <t>4062-008-001-0306</t>
  </si>
  <si>
    <t>Fourplex Dwight St</t>
  </si>
  <si>
    <t>4062-008-006-0004</t>
  </si>
  <si>
    <t>2022EX03325</t>
  </si>
  <si>
    <t>WOOD NANCY J</t>
  </si>
  <si>
    <t>2022EX03326</t>
  </si>
  <si>
    <t>WOOD GRANT L</t>
  </si>
  <si>
    <t>2022EX03327</t>
  </si>
  <si>
    <t>GEGNER NORBERT &amp; GUDRUN MARGIT</t>
  </si>
  <si>
    <t>2022EX03390</t>
  </si>
  <si>
    <t>8109-001-002-0009</t>
  </si>
  <si>
    <t>Village Home Bldg 1 Unit 2</t>
  </si>
  <si>
    <t>TODD HENRY S</t>
  </si>
  <si>
    <t>ISLAND COUNSELING COLLECTIVE PLLC</t>
  </si>
  <si>
    <t>8109-002-003-0006</t>
  </si>
  <si>
    <t>Village Home Bldg 2 Unit 3</t>
  </si>
  <si>
    <t>2022EX03722</t>
  </si>
  <si>
    <t>3972-000-009-0009</t>
  </si>
  <si>
    <t>Portion of Bamboo Restaurant/Store</t>
  </si>
  <si>
    <t xml:space="preserve">LS YEADON LLC                       </t>
  </si>
  <si>
    <t xml:space="preserve">REDSTONE 17 LLC                     </t>
  </si>
  <si>
    <t>3972-000-009-0108</t>
  </si>
  <si>
    <t>Ptn Bamboo Rest &amp; Oriental Tidahan</t>
  </si>
  <si>
    <t>3972-000-009-0207</t>
  </si>
  <si>
    <t>PC Parts &amp; Service LLC</t>
  </si>
  <si>
    <t>2022EX04098</t>
  </si>
  <si>
    <t>4458-008-012-0305</t>
  </si>
  <si>
    <t>Garage off Washiington Ave</t>
  </si>
  <si>
    <t>WEATHERLY DAVID C ET AL</t>
  </si>
  <si>
    <t>SAWORKS PROPERTIES LLC</t>
  </si>
  <si>
    <t>4458-008-012-0404</t>
  </si>
  <si>
    <t>BL (Retail Bldg demo'd)</t>
  </si>
  <si>
    <t>2022EX04238</t>
  </si>
  <si>
    <t>ISLANDER RESIDENTS ASSOC</t>
  </si>
  <si>
    <t xml:space="preserve">760- Parks                    </t>
  </si>
  <si>
    <t>4114-002-001-0000</t>
  </si>
  <si>
    <t xml:space="preserve">Eagle Harbor Waterfront Park        </t>
  </si>
  <si>
    <t>2022EX04240</t>
  </si>
  <si>
    <t>REYNOLDS ANNA</t>
  </si>
  <si>
    <t>2022EX04279</t>
  </si>
  <si>
    <t>362501-3-038-2004</t>
  </si>
  <si>
    <t>South Two Buildings</t>
  </si>
  <si>
    <t>MN RIDDELL LLC</t>
  </si>
  <si>
    <t>LEE HAE C</t>
  </si>
  <si>
    <t>362501-3-051-2006</t>
  </si>
  <si>
    <t>North L shaped building</t>
  </si>
  <si>
    <t xml:space="preserve">MN RIDDELL LLC                      </t>
  </si>
  <si>
    <t xml:space="preserve">LEE HAE C                           </t>
  </si>
  <si>
    <t>2022EX04312</t>
  </si>
  <si>
    <t>8180-000-103-0001</t>
  </si>
  <si>
    <t>Seabreeze Bldg A-1, #103</t>
  </si>
  <si>
    <t>HARRIS COMMERCIAL PROPERTIES LLP</t>
  </si>
  <si>
    <t>8180-000-105-0009</t>
  </si>
  <si>
    <t>Seabreeze Bldg A-1, #105</t>
  </si>
  <si>
    <t>2022EX04752</t>
  </si>
  <si>
    <t>012401-2-153-2007</t>
  </si>
  <si>
    <t>Pacific Fabrics strip &amp; excess land</t>
  </si>
  <si>
    <t>GLANT BRUCE S ET AL</t>
  </si>
  <si>
    <t>012401-2-155-2005</t>
  </si>
  <si>
    <t>QSR - BO Wheaton Way</t>
  </si>
  <si>
    <t xml:space="preserve">GLANT BRUCE S ET AL                 </t>
  </si>
  <si>
    <t xml:space="preserve">NEW LIFE CHURCH ON THE PENINSULA    </t>
  </si>
  <si>
    <t>012401-2-179-2007</t>
  </si>
  <si>
    <t>Esmt - N of Taco Bell - Wheaton Way</t>
  </si>
  <si>
    <t>2022EX04759</t>
  </si>
  <si>
    <t>342401-3-037-2008</t>
  </si>
  <si>
    <t>BL-N of Old Clifton</t>
  </si>
  <si>
    <t>CARA CREEK LLC</t>
  </si>
  <si>
    <t>342401-3-051-2009</t>
  </si>
  <si>
    <t>342401-3-054-2006</t>
  </si>
  <si>
    <t>342401-3-055-2005</t>
  </si>
  <si>
    <t>342401-3-056-2004</t>
  </si>
  <si>
    <t>342401-3-057-2003</t>
  </si>
  <si>
    <t>Esmt- Leader International Dr</t>
  </si>
  <si>
    <t>2022EX05058</t>
  </si>
  <si>
    <t>4458-008-004-0008</t>
  </si>
  <si>
    <t>Pkg Lot on Lowell near Washington</t>
  </si>
  <si>
    <t xml:space="preserve">CANNONGATE DEVELOPMENT LLC          </t>
  </si>
  <si>
    <t xml:space="preserve">JOHNSON AND HOLMES 3 LLC            </t>
  </si>
  <si>
    <t>4458-008-010-0109</t>
  </si>
  <si>
    <t>Seaport Bldg</t>
  </si>
  <si>
    <t>2022EX05353</t>
  </si>
  <si>
    <t>182501-3-031-2003</t>
  </si>
  <si>
    <t>BL Btwn S end of Apex Arpt &amp; Dickey</t>
  </si>
  <si>
    <t>PORT ORCHARD SAND &amp; GRAVEL COM</t>
  </si>
  <si>
    <t>JOHNSON &amp; HOLMES 4 LLC &amp;</t>
  </si>
  <si>
    <t>192501-2-008-2003</t>
  </si>
  <si>
    <t>BL east of Willamette/Meridian Rd</t>
  </si>
  <si>
    <t>192501-2-009-2002</t>
  </si>
  <si>
    <t>2022EX05700</t>
  </si>
  <si>
    <t>262501-4-127-2006</t>
  </si>
  <si>
    <t>BL fronts Hwy 303 just N of McWilliams</t>
  </si>
  <si>
    <t>REAL TRUST IRA ALTERNATIVES LL</t>
  </si>
  <si>
    <t>FOUNDATION FOR HOMELESS AND POVERTY</t>
  </si>
  <si>
    <t>262501-4-128-2005</t>
  </si>
  <si>
    <t>2022EX05709</t>
  </si>
  <si>
    <t>8534-000-355-0009</t>
  </si>
  <si>
    <t>Ericksen Ave- Unit 355</t>
  </si>
  <si>
    <t>OBRU LLC</t>
  </si>
  <si>
    <t>HYLA MIDDLE SCHOOL</t>
  </si>
  <si>
    <t>8534-000-365-0007</t>
  </si>
  <si>
    <t>Ericksen Ave- Unit 365</t>
  </si>
  <si>
    <t>8534-000-375-0005</t>
  </si>
  <si>
    <t>Ericksen Ave- Unit 375</t>
  </si>
  <si>
    <t>8534-000-385-0003</t>
  </si>
  <si>
    <t>Ericksen Ave- Unit 385</t>
  </si>
  <si>
    <t>2022EX05896</t>
  </si>
  <si>
    <t>5662-000-019-0007</t>
  </si>
  <si>
    <t xml:space="preserve">BI--FTD                       </t>
  </si>
  <si>
    <t>BL APARTMENTS LLC</t>
  </si>
  <si>
    <t>BLIS APARTMENTS LLC</t>
  </si>
  <si>
    <t>5662-000-020-0004</t>
  </si>
  <si>
    <t>5662-000-021-0003</t>
  </si>
  <si>
    <t>5662-000-022-0002</t>
  </si>
  <si>
    <t>5662-000-023-0001</t>
  </si>
  <si>
    <t>5662-000-024-0000</t>
  </si>
  <si>
    <t>5662-000-025-0009</t>
  </si>
  <si>
    <t>5662-000-026-0008</t>
  </si>
  <si>
    <t>BLIS Apartment</t>
  </si>
  <si>
    <t>2022EX06021</t>
  </si>
  <si>
    <t>3965-000-155-0109</t>
  </si>
  <si>
    <t>Building contig w/ 169-00, 169-02</t>
  </si>
  <si>
    <t>EAST/WEST PROPERTIES LLC</t>
  </si>
  <si>
    <t>3965-000-169-0004</t>
  </si>
  <si>
    <t>BL E of contig 155-00 w/169-02</t>
  </si>
  <si>
    <t>3965-000-169-0202</t>
  </si>
  <si>
    <t>BL contig w/169 &amp; 155-01</t>
  </si>
  <si>
    <t>2022EX06331</t>
  </si>
  <si>
    <t xml:space="preserve">South Liberty Bay             </t>
  </si>
  <si>
    <t>022501-3-051-2006</t>
  </si>
  <si>
    <t>AQUARIUS UTILITIES LLC</t>
  </si>
  <si>
    <t>CASCADIA WATER LLC</t>
  </si>
  <si>
    <t>032501-3-009-2008</t>
  </si>
  <si>
    <t>Well House</t>
  </si>
  <si>
    <t>4430-005-024-0102</t>
  </si>
  <si>
    <t>Island Lake Water System Well and Tank Site</t>
  </si>
  <si>
    <t>4430-005-028-0009</t>
  </si>
  <si>
    <t>Roats Water System</t>
  </si>
  <si>
    <t xml:space="preserve">Island Lake                   </t>
  </si>
  <si>
    <t>4430-005-029-0008</t>
  </si>
  <si>
    <t>2022EX06785</t>
  </si>
  <si>
    <t>3717-004-027-0108</t>
  </si>
  <si>
    <t>Duplex</t>
  </si>
  <si>
    <t>MOORE ROBERT R</t>
  </si>
  <si>
    <t>DIIMMEL CONNIE C &amp; SINGER BRANDON J</t>
  </si>
  <si>
    <t>3717-004-028-0008</t>
  </si>
  <si>
    <t>4-Plex @ 1732 4th St</t>
  </si>
  <si>
    <t>2022EX06874</t>
  </si>
  <si>
    <t xml:space="preserve">Winslow-COM                   </t>
  </si>
  <si>
    <t>5595-000-023-0003</t>
  </si>
  <si>
    <t>The Cooper 1 Apts 10 Units</t>
  </si>
  <si>
    <t xml:space="preserve">BI--R-14                      </t>
  </si>
  <si>
    <t>CLARKE PROPERTIES LLC</t>
  </si>
  <si>
    <t>THE COOPERS AT EAGLE HARBOR HEIGHTS</t>
  </si>
  <si>
    <t>5595-000-024-0002</t>
  </si>
  <si>
    <t>The Cooper 2 Apts 10 Units</t>
  </si>
  <si>
    <t>2022EX06970</t>
  </si>
  <si>
    <t>362501-2-005-2005</t>
  </si>
  <si>
    <t>BL - BL corner Hwy 303 and Fuson</t>
  </si>
  <si>
    <t>5900 STATE HWY 303 LLC</t>
  </si>
  <si>
    <t>MULTICARE HEALTH SYSTEM</t>
  </si>
  <si>
    <t>362501-2-018-2000</t>
  </si>
  <si>
    <t>BL - 5926 St. Hwy 303 NE</t>
  </si>
  <si>
    <t>2022EX07207</t>
  </si>
  <si>
    <t>ALEXANDER TOWNHOMES LLC</t>
  </si>
  <si>
    <t>SILVERDALE 20 LLC &amp; SILVERDALE PROPE</t>
  </si>
  <si>
    <t>2022EX07229</t>
  </si>
  <si>
    <t>NATHAN GLEN PROPERTIES THREE LLC &amp;</t>
  </si>
  <si>
    <t>2022EX07279</t>
  </si>
  <si>
    <t>BLOSSOM SARAH M &amp;</t>
  </si>
  <si>
    <t>SUGDEN GREG S &amp; DIANE E &amp;</t>
  </si>
  <si>
    <t>9000-009-676-0005</t>
  </si>
  <si>
    <t>2022EX07406</t>
  </si>
  <si>
    <t>362501-2-014-2004</t>
  </si>
  <si>
    <t>Shelly Business Pk.</t>
  </si>
  <si>
    <t>SHELLY JAMES N &amp; E MAXINE TRUS</t>
  </si>
  <si>
    <t>JRFISHER PROPERTIES LLC</t>
  </si>
  <si>
    <t>362501-2-023-2003</t>
  </si>
  <si>
    <t>BL Comml site pad ready</t>
  </si>
  <si>
    <t>2022EX07572</t>
  </si>
  <si>
    <t>CHOU DAN-HSUN</t>
  </si>
  <si>
    <t>BARRUTIA JOEL T</t>
  </si>
  <si>
    <t>2022EX07981</t>
  </si>
  <si>
    <t>252401-2-006-2008</t>
  </si>
  <si>
    <t>BL on Mitchell</t>
  </si>
  <si>
    <t>L&amp;L PROPERTY &amp; INVESTMENTS LLC</t>
  </si>
  <si>
    <t>OMR GROUP LLC</t>
  </si>
  <si>
    <t>252401-2-007-2007</t>
  </si>
  <si>
    <t>Abandoned well site-contribution val</t>
  </si>
  <si>
    <t>2022EX07991</t>
  </si>
  <si>
    <t>3787-000-015-0303</t>
  </si>
  <si>
    <t>3235 Kitsap Way - Auto retail</t>
  </si>
  <si>
    <t>MOSEY JAMES J &amp; TERESA A</t>
  </si>
  <si>
    <t>PORT MADISON ENTERPRISES AN AGENCY O</t>
  </si>
  <si>
    <t>3787-000-015-0402</t>
  </si>
  <si>
    <t>1110 Wilbert Ave. - Duplex</t>
  </si>
  <si>
    <t xml:space="preserve">BR--CC Commercial Corr.       </t>
  </si>
  <si>
    <t>2022EX08435</t>
  </si>
  <si>
    <t>122301-3-002-2006</t>
  </si>
  <si>
    <t>BL MU S of Martell MH Park</t>
  </si>
  <si>
    <t>LAMOUREUX RICHARD J &amp; DEBORAH</t>
  </si>
  <si>
    <t>JADE &amp; BLAKE HOLDINGS LLC</t>
  </si>
  <si>
    <t>122301-3-028-2006</t>
  </si>
  <si>
    <t>122301-3-033-2009</t>
  </si>
  <si>
    <t>A1 RADIATOR, PUGET SOUND AUTO</t>
  </si>
  <si>
    <t>2022EX08461</t>
  </si>
  <si>
    <t>5549-000-005-0002</t>
  </si>
  <si>
    <t>BL - Lot 5</t>
  </si>
  <si>
    <t>5549-000-006-0001</t>
  </si>
  <si>
    <t>BL - Lot 6</t>
  </si>
  <si>
    <t>2022EX08765</t>
  </si>
  <si>
    <t>4650-004-001-0006</t>
  </si>
  <si>
    <t>Office &amp; 1 parking spot</t>
  </si>
  <si>
    <t>TIERNAN PROPERTIES LLC &amp; SINCL</t>
  </si>
  <si>
    <t>SINCLAIR MARINA LLC</t>
  </si>
  <si>
    <t>4650-004-001-0105</t>
  </si>
  <si>
    <t>BO Sinclair Inlet Marina</t>
  </si>
  <si>
    <t>2022EX08950</t>
  </si>
  <si>
    <t>LITOWITZ DAVID J TRUSTEE</t>
  </si>
  <si>
    <t>2023EX00175</t>
  </si>
  <si>
    <t>4458-004-007-0202</t>
  </si>
  <si>
    <t>Bay Breeze Apts Bldg A</t>
  </si>
  <si>
    <t>BAY BREEZE APTS LLC</t>
  </si>
  <si>
    <t>GALT KENNEWICK LLC</t>
  </si>
  <si>
    <t>4458-004-009-0101</t>
  </si>
  <si>
    <t>Bay Breeze Apts Bldg B</t>
  </si>
  <si>
    <t>4458-004-010-0108</t>
  </si>
  <si>
    <t>Bay Breeze Apts Bldg C</t>
  </si>
  <si>
    <t>2023EX00195</t>
  </si>
  <si>
    <t>WATERMAN MITIGATION PARTNERS L</t>
  </si>
  <si>
    <t>DUNK LIMITED LIABILITY COMPANY</t>
  </si>
  <si>
    <t>2023EX01832</t>
  </si>
  <si>
    <t>322401-1-095-2003</t>
  </si>
  <si>
    <t>Kitsap Muffler and Brakes</t>
  </si>
  <si>
    <t>WEISS MICHAEL DAVID</t>
  </si>
  <si>
    <t>BRUMOUS LLC</t>
  </si>
  <si>
    <t>322401-1-096-2002</t>
  </si>
  <si>
    <t>Kitsap Brakes - Kitsap Muffler</t>
  </si>
  <si>
    <t>2023EX03179</t>
  </si>
  <si>
    <t xml:space="preserve">Bremerton Condos              </t>
  </si>
  <si>
    <t>8224-000-000-0003</t>
  </si>
  <si>
    <t>MILLS CROSSING LLC</t>
  </si>
  <si>
    <t>KITSAP COMMUNITY RESOURCES</t>
  </si>
  <si>
    <t>8224-000-000-0102</t>
  </si>
  <si>
    <t>Mills Crossing</t>
  </si>
  <si>
    <t>8224-001-001-0000</t>
  </si>
  <si>
    <t>8224-001-002-0009</t>
  </si>
  <si>
    <t>8224-001-003-0008</t>
  </si>
  <si>
    <t>8224-001-004-0007</t>
  </si>
  <si>
    <t>8224-001-005-0006</t>
  </si>
  <si>
    <t>8224-001-006-0005</t>
  </si>
  <si>
    <t>8224-001-007-0004</t>
  </si>
  <si>
    <t>8224-001-008-0003</t>
  </si>
  <si>
    <t>8224-001-009-0002</t>
  </si>
  <si>
    <t>8224-001-010-0009</t>
  </si>
  <si>
    <t>8224-002-001-0008</t>
  </si>
  <si>
    <t>8224-002-002-0007</t>
  </si>
  <si>
    <t>8224-002-003-0006</t>
  </si>
  <si>
    <t>8224-002-004-0005</t>
  </si>
  <si>
    <t>8224-002-005-0004</t>
  </si>
  <si>
    <t>8224-002-006-0003</t>
  </si>
  <si>
    <t>8224-002-007-0002</t>
  </si>
  <si>
    <t>8224-002-008-0001</t>
  </si>
  <si>
    <t>8224-002-009-0000</t>
  </si>
  <si>
    <t>8224-002-010-0007</t>
  </si>
  <si>
    <t>2023EX04130</t>
  </si>
  <si>
    <t>3735-020-017-0005</t>
  </si>
  <si>
    <t>907 Meade Ave. 2 story warehouse</t>
  </si>
  <si>
    <t>KALMBACH JERI L TRUSTEE</t>
  </si>
  <si>
    <t>ELK VENTURE LLC</t>
  </si>
  <si>
    <t>3735-020-019-0003</t>
  </si>
  <si>
    <t>BL- Corner of 9th and Meade</t>
  </si>
  <si>
    <t>2023EX04132</t>
  </si>
  <si>
    <t>152601-4-082-2001</t>
  </si>
  <si>
    <t>Olympic Dome Building Fronting Viking Way</t>
  </si>
  <si>
    <t>WHEELER CLAUDETTE</t>
  </si>
  <si>
    <t>ROUND TOP HOLDINGS LLC</t>
  </si>
  <si>
    <t>152601-4-083-2000</t>
  </si>
  <si>
    <t>Olympic Dome Parking for Dome Building, Cont 082</t>
  </si>
  <si>
    <t>2023EX04177</t>
  </si>
  <si>
    <t>3965-002-001-0002</t>
  </si>
  <si>
    <t>Belmont Terrace Convalescent</t>
  </si>
  <si>
    <t>KITSAP PROPERTIES LLC</t>
  </si>
  <si>
    <t>BREMER HEALTH HOLDINGS LLC</t>
  </si>
  <si>
    <t>2023EX04179</t>
  </si>
  <si>
    <t>022301-2-073-2004</t>
  </si>
  <si>
    <t>The Villas at Ridgememont (frmr Ridgemont Terrace Apts)</t>
  </si>
  <si>
    <t>RIDGEMONT APARTMENTS INC &amp;</t>
  </si>
  <si>
    <t>ORCHARD BAY HEALTH HOLDINGS</t>
  </si>
  <si>
    <t>022301-2-074-2003</t>
  </si>
  <si>
    <t>Avamere Rehabilitation at Ridgemont - Conv Ctr</t>
  </si>
  <si>
    <t>022301-2-074-2102</t>
  </si>
  <si>
    <t>BO - Assisted Living</t>
  </si>
  <si>
    <t>2023EX04481</t>
  </si>
  <si>
    <t>8190-000-000-0003</t>
  </si>
  <si>
    <t>Common Area</t>
  </si>
  <si>
    <t>ZOTYK NICOLAEVICH DEJNEKA LLC</t>
  </si>
  <si>
    <t>8190-000-001-0002</t>
  </si>
  <si>
    <t>Unit 1-Speidel Natural Health Clinic</t>
  </si>
  <si>
    <t>8190-000-002-0001</t>
  </si>
  <si>
    <t>Unit 2- Main level</t>
  </si>
  <si>
    <t>8190-000-003-0000</t>
  </si>
  <si>
    <t>Unit 3 Bohannon &amp; Miller Lawyers</t>
  </si>
  <si>
    <t>2023EX04524</t>
  </si>
  <si>
    <t>JWJ SEQUIM 2 LLC &amp; CHARTWELL I</t>
  </si>
  <si>
    <t>LNR3 AIV LLC</t>
  </si>
  <si>
    <t>2023EX04994</t>
  </si>
  <si>
    <t>4225-000-005-0006</t>
  </si>
  <si>
    <t>Converted SFR Nails Salon and office</t>
  </si>
  <si>
    <t>RUNNELS BILLY &amp; SARAH E</t>
  </si>
  <si>
    <t>THE SANTA LUCIA LLC</t>
  </si>
  <si>
    <t>4225-000-006-0005</t>
  </si>
  <si>
    <t>Converted SFR Kitsap Printing</t>
  </si>
  <si>
    <t>2023EX05022</t>
  </si>
  <si>
    <t>092702-1-019-2001</t>
  </si>
  <si>
    <t>BL Fronts Hansville Rd, Adj landf</t>
  </si>
  <si>
    <t>A &amp; A TREE FARMS INC</t>
  </si>
  <si>
    <t>MILLER BAY PROPERTIES LLC</t>
  </si>
  <si>
    <t>092702-1-020-2008</t>
  </si>
  <si>
    <t>2023EX05489</t>
  </si>
  <si>
    <t>322401-1-104-2002</t>
  </si>
  <si>
    <t>1- Rambler 1-Duplex Gorst</t>
  </si>
  <si>
    <t>HOUGH LESLIE W &amp; ELIZABETH O E</t>
  </si>
  <si>
    <t>SEYMOUR LINDA C</t>
  </si>
  <si>
    <t>322401-1-125-2007</t>
  </si>
  <si>
    <t>BL Gorst</t>
  </si>
  <si>
    <t>2023EX05704</t>
  </si>
  <si>
    <t xml:space="preserve">Downtown Port Orchard         </t>
  </si>
  <si>
    <t>262401-3-001-2000</t>
  </si>
  <si>
    <t xml:space="preserve">PO--R1                        </t>
  </si>
  <si>
    <t>CALEDONIA JOY &amp; CODDINGTON JIL</t>
  </si>
  <si>
    <t>GOOSEN JEREMY &amp; VANESSA</t>
  </si>
  <si>
    <t>262401-3-004-2007</t>
  </si>
  <si>
    <t>BL-adj to Dockside Sales &amp; Service</t>
  </si>
  <si>
    <t>262401-3-025-2002</t>
  </si>
  <si>
    <t>4623-000-010-0106</t>
  </si>
  <si>
    <t>BL Esmt Impact, Contribution</t>
  </si>
  <si>
    <t>4623-000-013-0004</t>
  </si>
  <si>
    <t>2023EX06110</t>
  </si>
  <si>
    <t>West Brem Kitsap Lake WF - COM</t>
  </si>
  <si>
    <t>082401-3-235-2000</t>
  </si>
  <si>
    <t>6 SFR's on Kitsap Lake</t>
  </si>
  <si>
    <t>BRAMWELL DEBORA J</t>
  </si>
  <si>
    <t>REGER THOMAS &amp; KRISTINA</t>
  </si>
  <si>
    <t>2023EX06289</t>
  </si>
  <si>
    <t>COULSON MICHAEL &amp; ORELLANA PAT</t>
  </si>
  <si>
    <t>FLYING GOAT ABODE MEB LLC</t>
  </si>
  <si>
    <t>8217-002-200-0006</t>
  </si>
  <si>
    <t>2023EX06581</t>
  </si>
  <si>
    <t>FRUIT TREE APT LLC</t>
  </si>
  <si>
    <t>BOB'S PRINT LLC</t>
  </si>
  <si>
    <t>2023EX06679</t>
  </si>
  <si>
    <t>4796-013-001-0002</t>
  </si>
  <si>
    <t>Corner Bielmeier &amp; Bethel</t>
  </si>
  <si>
    <t>OLSEN LOREN M &amp; OLSEN LOREN M</t>
  </si>
  <si>
    <t>CECCANTI INC</t>
  </si>
  <si>
    <t>4796-013-001-0101</t>
  </si>
  <si>
    <t>BL south of Bielmeier contig w/001-0</t>
  </si>
  <si>
    <t>4796-014-001-0000</t>
  </si>
  <si>
    <t>BL off Bielmeier fronts Hwy 16</t>
  </si>
  <si>
    <t>2023EX06941</t>
  </si>
  <si>
    <t>8110-000-001-0009</t>
  </si>
  <si>
    <t>Eastman Condo Unit A</t>
  </si>
  <si>
    <t>299 MADISON LLC</t>
  </si>
  <si>
    <t>BAINBRIDGE COMMUNITY FOUNDATION</t>
  </si>
  <si>
    <t>8110-000-002-0008</t>
  </si>
  <si>
    <t>Eastman Condo Unit B</t>
  </si>
  <si>
    <t>8110-000-003-0007</t>
  </si>
  <si>
    <t>Eastman Condo Unit C</t>
  </si>
  <si>
    <t>8110-000-004-0006</t>
  </si>
  <si>
    <t>Eastman Condo Unit D</t>
  </si>
  <si>
    <t>2023EX07032</t>
  </si>
  <si>
    <t>COWAN JOHN L III &amp; WELBORN JOD</t>
  </si>
  <si>
    <t>SARRAGOSSA CHRISTIANE</t>
  </si>
  <si>
    <t>9000-010-374-0008</t>
  </si>
  <si>
    <t>2023EX07239</t>
  </si>
  <si>
    <t>162401-3-118-2002</t>
  </si>
  <si>
    <t>Land on Harlow Drive</t>
  </si>
  <si>
    <t>PARR RODNEY R &amp; LINDA JOYCE</t>
  </si>
  <si>
    <t>212401-2-136-2005</t>
  </si>
  <si>
    <t>BL hill behind Enterprise Rentals</t>
  </si>
  <si>
    <t>2023EX07258</t>
  </si>
  <si>
    <t>212401-1-033-2001</t>
  </si>
  <si>
    <t>BL 1 lot E of Auto Center on Kean</t>
  </si>
  <si>
    <t>PARR RODNEY R &amp; LINDA J</t>
  </si>
  <si>
    <t>KEAN INVESTMENTS LLC</t>
  </si>
  <si>
    <t>212401-1-076-2009</t>
  </si>
  <si>
    <t>BL on corner of Kean and Auto Center</t>
  </si>
  <si>
    <t>2024EX00416</t>
  </si>
  <si>
    <t>HOLMES BENJAMIN P</t>
  </si>
  <si>
    <t>BLUE BREMER LLC</t>
  </si>
  <si>
    <t>2024EX00775</t>
  </si>
  <si>
    <t>MCDOWELL JAMES</t>
  </si>
  <si>
    <t>2024EX00837</t>
  </si>
  <si>
    <t>NOBLE SANDRA</t>
  </si>
  <si>
    <t>GILBERT PAMELA MARIE</t>
  </si>
  <si>
    <t>9000-000-079-0007</t>
  </si>
  <si>
    <t>2024EX01169</t>
  </si>
  <si>
    <t>062301-2-037-2005</t>
  </si>
  <si>
    <t>Brothers Nursery</t>
  </si>
  <si>
    <t>PELKEY CHERYL L</t>
  </si>
  <si>
    <t>DAVIS MARILYN</t>
  </si>
  <si>
    <t>062301-2-075-2008</t>
  </si>
  <si>
    <t>062301-2-078-2005</t>
  </si>
  <si>
    <t>062301-2-079-2004</t>
  </si>
  <si>
    <t>062301-2-080-2001</t>
  </si>
  <si>
    <t>2024EX01244</t>
  </si>
  <si>
    <t>032301-2-037-2008</t>
  </si>
  <si>
    <t>BROWN LILA J</t>
  </si>
  <si>
    <t>DIAZ MICHAEL</t>
  </si>
  <si>
    <t>032301-2-038-2007</t>
  </si>
  <si>
    <t>032301-2-039-2006</t>
  </si>
  <si>
    <t>032301-2-087-2007</t>
  </si>
  <si>
    <t>BL Anderson Hill</t>
  </si>
  <si>
    <t>032301-2-088-2006</t>
  </si>
  <si>
    <t>032301-2-089-2005</t>
  </si>
  <si>
    <t>032301-2-090-2002</t>
  </si>
  <si>
    <t>032301-2-091-2001</t>
  </si>
  <si>
    <t>032301-2-092-2000</t>
  </si>
  <si>
    <t>2024EX01329</t>
  </si>
  <si>
    <t>3741-000-001-0007</t>
  </si>
  <si>
    <t>Puget Sound Petroleum</t>
  </si>
  <si>
    <t>SATHER LINDA JO</t>
  </si>
  <si>
    <t>VL PROPERTIES NW LLC</t>
  </si>
  <si>
    <t>3741-000-002-0006</t>
  </si>
  <si>
    <t>Pennsylvania Ave N of 17th - parking</t>
  </si>
  <si>
    <t>2024EX01563</t>
  </si>
  <si>
    <t>SHAKOW CAROL BETTE &amp; SHAKOW MI</t>
  </si>
  <si>
    <t>SUSSMAN LAURA A &amp; KRAFT WENDY R TRUS</t>
  </si>
  <si>
    <t>9000-000-120-0006</t>
  </si>
  <si>
    <t>2024EX01564</t>
  </si>
  <si>
    <t>252401-2-016-2006</t>
  </si>
  <si>
    <t>BL east of Mansker Tires</t>
  </si>
  <si>
    <t>LS INV PROP LLC</t>
  </si>
  <si>
    <t>PORT ORCHARD BUILDING 1 LLC</t>
  </si>
  <si>
    <t>252401-2-017-2005</t>
  </si>
  <si>
    <t>Kitsap RV - Bay Street</t>
  </si>
  <si>
    <t>252401-3-037-2009</t>
  </si>
  <si>
    <t>BL behind Les Schwab on Bay St</t>
  </si>
  <si>
    <t>2024EX01706</t>
  </si>
  <si>
    <t>182501-4-050-2007</t>
  </si>
  <si>
    <t>BL off Dickey by Enchantment Rd</t>
  </si>
  <si>
    <t>CBH LLC</t>
  </si>
  <si>
    <t>STERLING CUSTOM HOMES INC</t>
  </si>
  <si>
    <t>182501-4-051-2006</t>
  </si>
  <si>
    <t>2024EX01927</t>
  </si>
  <si>
    <t>202501-1-181-2001</t>
  </si>
  <si>
    <t>Office spc Anderson Hill contg w/182</t>
  </si>
  <si>
    <t>IUOE LOCAL 302 BUILDING ASSOCI</t>
  </si>
  <si>
    <t>CENTRAL KITSAP FOOD BANK</t>
  </si>
  <si>
    <t>202501-1-182-2000</t>
  </si>
  <si>
    <t>BL NW Anderson Hill Rd S of Bucklin</t>
  </si>
  <si>
    <t>2024EX02099</t>
  </si>
  <si>
    <t>052401-3-062-2001</t>
  </si>
  <si>
    <t>SFR/storage yard Chico</t>
  </si>
  <si>
    <t>SYMINGTON JOHN D  ESTATE OF</t>
  </si>
  <si>
    <t>ISON SHANE</t>
  </si>
  <si>
    <t>082401-2-015-2008</t>
  </si>
  <si>
    <t>BL Chico Way/storage yard</t>
  </si>
  <si>
    <t>2024EX02155</t>
  </si>
  <si>
    <t>152401-1-066-2009</t>
  </si>
  <si>
    <t>Hi-low Cafe, Seiu Local 925, Salon</t>
  </si>
  <si>
    <t>YOXSIMER LOWELL &amp; HEIDI</t>
  </si>
  <si>
    <t>ZEN USA LLC</t>
  </si>
  <si>
    <t>152401-1-174-2008</t>
  </si>
  <si>
    <t>BL 15th St and Wycoff parking lot</t>
  </si>
  <si>
    <t>2024EX02348</t>
  </si>
  <si>
    <t>BJPO LLC</t>
  </si>
  <si>
    <t>2024EX02349</t>
  </si>
  <si>
    <t>BTRPO LLC</t>
  </si>
  <si>
    <t>2024EX02405</t>
  </si>
  <si>
    <t>OLYMPIAS APARTMENTS LLC</t>
  </si>
  <si>
    <t>SHERIDAN PARK APARTMENTS LLC</t>
  </si>
  <si>
    <t>2024EX02502</t>
  </si>
  <si>
    <t>352501-4-074-2008</t>
  </si>
  <si>
    <t>BL - Fuson Rd off Hwy 303</t>
  </si>
  <si>
    <t>MARCELO RONALD A</t>
  </si>
  <si>
    <t>TRUE LIFE FELLOWSHIP OF CHRISTIAN &amp;</t>
  </si>
  <si>
    <t>352501-4-075-2007</t>
  </si>
  <si>
    <t>2024EX02523</t>
  </si>
  <si>
    <t>132401-3-037-2003</t>
  </si>
  <si>
    <t>A/O PROPERTY INVESTMENTS LLC</t>
  </si>
  <si>
    <t>PELICAN HILL APARTMENTS LLC</t>
  </si>
  <si>
    <t>132401-3-038-2002</t>
  </si>
  <si>
    <t>132401-3-078-2003</t>
  </si>
  <si>
    <t>7 Units @ 926 Pacific Ave</t>
  </si>
  <si>
    <t>132401-3-079-2002</t>
  </si>
  <si>
    <t>928 Pacific Apts</t>
  </si>
  <si>
    <t>132401-3-080-2009</t>
  </si>
  <si>
    <t>132401-3-203-2001</t>
  </si>
  <si>
    <t>Pleasant View Apts</t>
  </si>
  <si>
    <t>132401-3-206-2008</t>
  </si>
  <si>
    <t>BL - Parking for lot 203</t>
  </si>
  <si>
    <t>2024EX02617</t>
  </si>
  <si>
    <t>ALLEN ALISON B &amp; HEIRS AND DEV</t>
  </si>
  <si>
    <t>2024EX02736</t>
  </si>
  <si>
    <t>MUNSON JOHANNA</t>
  </si>
  <si>
    <t>2024EX02898</t>
  </si>
  <si>
    <t>4600-003-013-0005</t>
  </si>
  <si>
    <t>IRONWOOD INTERNATIONAL HOLDING</t>
  </si>
  <si>
    <t>4600-003-014-0004</t>
  </si>
  <si>
    <t>4600-003-015-0003</t>
  </si>
  <si>
    <t>Clarone Court Apartments</t>
  </si>
  <si>
    <t>2024EX02926</t>
  </si>
  <si>
    <t>172501-3-022-2005</t>
  </si>
  <si>
    <t>BL - Old Frontier N of Anderson Hill</t>
  </si>
  <si>
    <t>MIDDLE GROUND LLC</t>
  </si>
  <si>
    <t>172501-3-079-2007</t>
  </si>
  <si>
    <t>BL Old Frontier N of Anderson Hill</t>
  </si>
  <si>
    <t>172501-3-080-2004</t>
  </si>
  <si>
    <t>172501-3-081-2003</t>
  </si>
  <si>
    <t>172501-3-082-2002</t>
  </si>
  <si>
    <t>2024EX03250</t>
  </si>
  <si>
    <t>4425-001-001-0006</t>
  </si>
  <si>
    <t>BL- Corner of Hwy 303 &amp; Vena Ave</t>
  </si>
  <si>
    <t>WEIR DELORES R</t>
  </si>
  <si>
    <t>VENA LLC</t>
  </si>
  <si>
    <t>4425-001-018-0007</t>
  </si>
  <si>
    <t>BL-NW corner of Franklin Ave.</t>
  </si>
  <si>
    <t>2024EX03599</t>
  </si>
  <si>
    <t>3787-000-022-0304</t>
  </si>
  <si>
    <t>Espresso Stand on Kitsap Way</t>
  </si>
  <si>
    <t>MELTON &amp; MELTON LLC</t>
  </si>
  <si>
    <t>DLP INVESTMENTS LLC</t>
  </si>
  <si>
    <t>3787-000-022-0403</t>
  </si>
  <si>
    <t>BO Espresso Stand on Kitsap Way</t>
  </si>
  <si>
    <t>2024EX03639</t>
  </si>
  <si>
    <t>032202-2-120-2006</t>
  </si>
  <si>
    <t>SELLARDS KATHRYN S &amp; JIMMY M</t>
  </si>
  <si>
    <t>LALA COVE MANAGEMENT LLC</t>
  </si>
  <si>
    <t>342302-3-005-2006</t>
  </si>
  <si>
    <t>Prior Gov Housing Olalla</t>
  </si>
  <si>
    <t>2024EX03913</t>
  </si>
  <si>
    <t>272701-4-093-2003</t>
  </si>
  <si>
    <t>BL- Lot C</t>
  </si>
  <si>
    <t>PIONEER INVESTMENTS LLC</t>
  </si>
  <si>
    <t>272701-4-097-2009</t>
  </si>
  <si>
    <t>Lot G warehouse</t>
  </si>
  <si>
    <t>2024EX04420</t>
  </si>
  <si>
    <t>142601-2-045-2002</t>
  </si>
  <si>
    <t>BL-E of 4th Ave W of 305</t>
  </si>
  <si>
    <t>CHINOOK GROUP LLC</t>
  </si>
  <si>
    <t>THE LAND ESTATES LLC</t>
  </si>
  <si>
    <t>142601-2-046-2001</t>
  </si>
  <si>
    <t>BL W of Hwy 305</t>
  </si>
  <si>
    <t>2024EX04625</t>
  </si>
  <si>
    <t>302402-3-048-2008</t>
  </si>
  <si>
    <t>South Sound Cinema 10</t>
  </si>
  <si>
    <t>VINE STREET INVESTORS LLC</t>
  </si>
  <si>
    <t>BROSE LLC</t>
  </si>
  <si>
    <t>302402-3-052-2001</t>
  </si>
  <si>
    <t>Pkg for cinemas, resi zoning</t>
  </si>
  <si>
    <t>2024EX04714</t>
  </si>
  <si>
    <t>322401-4-019-2000</t>
  </si>
  <si>
    <t>Custom Hearth Warehouse</t>
  </si>
  <si>
    <t>P &amp; L HOLDINGS LLC</t>
  </si>
  <si>
    <t>OSBORNE INVESTMENTS PORT ORCHARD 1 L</t>
  </si>
  <si>
    <t>322401-4-080-2004</t>
  </si>
  <si>
    <t>Custom Hearth, Sundance Solar</t>
  </si>
  <si>
    <t>2024EX04825</t>
  </si>
  <si>
    <t>3976-030-011-0008</t>
  </si>
  <si>
    <t>BL-Wtrfrnt-no access</t>
  </si>
  <si>
    <t>WATER WIND &amp; SKY LLC</t>
  </si>
  <si>
    <t>MGP BEACON GUARANTY LLC</t>
  </si>
  <si>
    <t>3976-030-012-0007</t>
  </si>
  <si>
    <t>BL Wft Lower Wheaton Sheds NV</t>
  </si>
  <si>
    <t>2024EX04966</t>
  </si>
  <si>
    <t>192501-4-005-2002</t>
  </si>
  <si>
    <t>Silverwood Montessori Dickey Pl</t>
  </si>
  <si>
    <t>HORNING SPENCER &amp; FRANCES</t>
  </si>
  <si>
    <t>MUTCHLER GREGORY J</t>
  </si>
  <si>
    <t>192501-4-027-2006</t>
  </si>
  <si>
    <t>BL SW of Silverwood off Dickey Pl</t>
  </si>
  <si>
    <t>2024EX05040</t>
  </si>
  <si>
    <t>BENAROYA HOLDINGS LLC</t>
  </si>
  <si>
    <t>2024EX05249</t>
  </si>
  <si>
    <t>BREYER KARIN &amp; BERAN LISA</t>
  </si>
  <si>
    <t>WARD DAVID &amp; JOANN DAVIS &amp;</t>
  </si>
  <si>
    <t>9000-000-097-0005</t>
  </si>
  <si>
    <t>9000-000-097-0104</t>
  </si>
  <si>
    <t>2024EX05288</t>
  </si>
  <si>
    <t>232501-4-016-2003</t>
  </si>
  <si>
    <t>MH fronting St Hwy 303</t>
  </si>
  <si>
    <t>BILLICK RANDY L &amp; KAREN I OLSO</t>
  </si>
  <si>
    <t>262501-1-035-2003</t>
  </si>
  <si>
    <t>2024EX05742</t>
  </si>
  <si>
    <t>RIDGE RACING LLC</t>
  </si>
  <si>
    <t>SOUND CREDIT UNION</t>
  </si>
  <si>
    <t>2024EX05792</t>
  </si>
  <si>
    <t>252501-2-012-2009</t>
  </si>
  <si>
    <t>BL Corner HWY 303 &amp; John Carlson</t>
  </si>
  <si>
    <t>ROBINSON CARLSON LLC</t>
  </si>
  <si>
    <t>DPS LLC</t>
  </si>
  <si>
    <t>2024EX05923</t>
  </si>
  <si>
    <t>3733-007-009-0004</t>
  </si>
  <si>
    <t>Gerber Collision</t>
  </si>
  <si>
    <t>COLLISION SERVICE REPAIR CENTE</t>
  </si>
  <si>
    <t>AGREE STORES LLC</t>
  </si>
  <si>
    <t>3733-007-012-0009</t>
  </si>
  <si>
    <t>Paint shop</t>
  </si>
  <si>
    <t>2024EX06315</t>
  </si>
  <si>
    <t>352501-1-088-2008</t>
  </si>
  <si>
    <t>Lot C with 089</t>
  </si>
  <si>
    <t>BREMERTON BUSINESS PARK LLC</t>
  </si>
  <si>
    <t>CORAM DEO CHURCH</t>
  </si>
  <si>
    <t>352501-1-089-2007</t>
  </si>
  <si>
    <t>Lot D with 088</t>
  </si>
  <si>
    <t>2024EX06479</t>
  </si>
  <si>
    <t>072401-1-012-2004</t>
  </si>
  <si>
    <t>Country Nursery C-SFR,Mtl Whse,Grnhs</t>
  </si>
  <si>
    <t>RODGERS TRACY</t>
  </si>
  <si>
    <t>WET NOSES DRY PAWS LLC</t>
  </si>
  <si>
    <t>072401-1-013-2003</t>
  </si>
  <si>
    <t>Country Nursery Retail/Office Bldgs</t>
  </si>
  <si>
    <t>2024EX06508</t>
  </si>
  <si>
    <t>122601-1-028-2007</t>
  </si>
  <si>
    <t>detached garage</t>
  </si>
  <si>
    <t>KITSAP FUNERAL SERVICES INC</t>
  </si>
  <si>
    <t>WEEKS KITSAP CEMETERIES INC</t>
  </si>
  <si>
    <t xml:space="preserve">North Poulsbo                 </t>
  </si>
  <si>
    <t>122601-1-029-2006</t>
  </si>
  <si>
    <t>undeveloped land</t>
  </si>
  <si>
    <t>122601-1-030-2003</t>
  </si>
  <si>
    <t>122601-1-031-2002</t>
  </si>
  <si>
    <t>LO-Cherry Grove Memorial Park Cemete</t>
  </si>
  <si>
    <t>122601-1-031-2101</t>
  </si>
  <si>
    <t>BO-Cherry Grove Memorial Park Cemetery</t>
  </si>
  <si>
    <t>3719-002-047-0106</t>
  </si>
  <si>
    <t>Lewis Funeral Chapel</t>
  </si>
  <si>
    <t>4681-000-040-0000</t>
  </si>
  <si>
    <t>BL Cemetery &amp; Forested Portion</t>
  </si>
  <si>
    <t>4681-000-041-0009</t>
  </si>
  <si>
    <t>Cemetery &amp; forested portion</t>
  </si>
  <si>
    <t>4681-000-042-0008</t>
  </si>
  <si>
    <t>BL Cemetery</t>
  </si>
  <si>
    <t>4681-000-043-0007</t>
  </si>
  <si>
    <t>Crematorium Building</t>
  </si>
  <si>
    <t>4681-000-043-0106</t>
  </si>
  <si>
    <t>BO Forest Lawn- Office</t>
  </si>
  <si>
    <t>2024EX06824</t>
  </si>
  <si>
    <t>3918-003-001-0206</t>
  </si>
  <si>
    <t>BL- E 11th St Manette</t>
  </si>
  <si>
    <t>PARK PACIFIC PROPERTIES LLC</t>
  </si>
  <si>
    <t>MAJU RAWAN</t>
  </si>
  <si>
    <t>3918-003-002-0106</t>
  </si>
  <si>
    <t>Hecker Architects-2009 &amp; 2013 Harkin</t>
  </si>
  <si>
    <t>2024EX06894</t>
  </si>
  <si>
    <t>8191-000-108-0003</t>
  </si>
  <si>
    <t>Unit 108</t>
  </si>
  <si>
    <t>HOVEIDA REBECCA J TRUSTEE</t>
  </si>
  <si>
    <t>8191-000-110-0108</t>
  </si>
  <si>
    <t>Unit 110</t>
  </si>
  <si>
    <t>2024EX07099</t>
  </si>
  <si>
    <t>4796-028-001-0000</t>
  </si>
  <si>
    <t>BL fenced equipment storage</t>
  </si>
  <si>
    <t>WILEY RONALD W &amp; G JANE</t>
  </si>
  <si>
    <t>MYETTE ALAN SHERMAN &amp; JESSICA ANN</t>
  </si>
  <si>
    <t>4796-028-002-0009</t>
  </si>
  <si>
    <t>BL S Bethel Burley, W SR16</t>
  </si>
  <si>
    <t>4796-029-001-0008</t>
  </si>
  <si>
    <t>Nicholson Drilling</t>
  </si>
  <si>
    <t>2024EX07629</t>
  </si>
  <si>
    <t>162501-2-051-2002</t>
  </si>
  <si>
    <t>Barnes &amp; Noble, Cost + World Market</t>
  </si>
  <si>
    <t>10315 SILVERDALE WAY HOLDINGS</t>
  </si>
  <si>
    <t>KITSAP MALL VENTURE LLC</t>
  </si>
  <si>
    <t>162501-2-067-2004</t>
  </si>
  <si>
    <t>Penneys</t>
  </si>
  <si>
    <t>162501-2-072-2007</t>
  </si>
  <si>
    <t>North parking lot</t>
  </si>
  <si>
    <t>162501-2-088-2009</t>
  </si>
  <si>
    <t>Mall excluding anchors</t>
  </si>
  <si>
    <t>162501-2-089-2008</t>
  </si>
  <si>
    <t>Macys</t>
  </si>
  <si>
    <t>162501-2-090-2005</t>
  </si>
  <si>
    <t>LO Red Robin</t>
  </si>
  <si>
    <t>162501-3-015-2005</t>
  </si>
  <si>
    <t>West parking lot</t>
  </si>
  <si>
    <t>2025EX00504</t>
  </si>
  <si>
    <t>3751-004-001-0006</t>
  </si>
  <si>
    <t>1601 4th st Apartment and defunct retail</t>
  </si>
  <si>
    <t>SHAW PAUL R INCAPACITATED</t>
  </si>
  <si>
    <t>JMD INVESTMENTS WA LLC</t>
  </si>
  <si>
    <t>3751-004-002-0005</t>
  </si>
  <si>
    <t>Very steep site  4th &amp; Anoka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</si>
</sst>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9" x14ac:knownFonts="1">
    <font>
      <sz val="11"/>
      <color theme="1"/>
      <name val="Aptos Narrow"/>
      <family val="2"/>
      <scheme val="minor"/>
    </font>
    <font>
      <sz val="10"/>
      <name val="Arial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right" vertical="center"/>
    </xf>
    <xf numFmtId="2" fontId="3" fillId="2" borderId="0" xfId="1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164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 indent="1"/>
    </xf>
    <xf numFmtId="164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right"/>
    </xf>
    <xf numFmtId="2" fontId="4" fillId="0" borderId="0" xfId="1" applyNumberFormat="1" applyFont="1" applyAlignment="1">
      <alignment horizontal="right"/>
    </xf>
    <xf numFmtId="0" fontId="4" fillId="0" borderId="0" xfId="1" applyFont="1"/>
    <xf numFmtId="0" fontId="8" fillId="0" borderId="0" xfId="2" applyFont="1" applyAlignment="1">
      <alignment horizontal="center"/>
    </xf>
    <xf numFmtId="0" fontId="2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left" vertical="center"/>
    </xf>
    <xf numFmtId="164" fontId="3" fillId="2" borderId="0" xfId="3" applyNumberFormat="1" applyFont="1" applyFill="1" applyAlignment="1">
      <alignment horizontal="center" vertical="center"/>
    </xf>
    <xf numFmtId="3" fontId="3" fillId="2" borderId="0" xfId="3" applyNumberFormat="1" applyFont="1" applyFill="1" applyAlignment="1">
      <alignment horizontal="right" vertical="center"/>
    </xf>
    <xf numFmtId="2" fontId="3" fillId="2" borderId="0" xfId="3" applyNumberFormat="1" applyFont="1" applyFill="1" applyAlignment="1">
      <alignment horizontal="right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 indent="1"/>
    </xf>
    <xf numFmtId="164" fontId="5" fillId="0" borderId="0" xfId="3" applyNumberFormat="1" applyFont="1" applyAlignment="1">
      <alignment horizontal="center" vertical="center"/>
    </xf>
    <xf numFmtId="3" fontId="5" fillId="0" borderId="0" xfId="3" applyNumberFormat="1" applyFont="1" applyAlignment="1">
      <alignment horizontal="right" vertical="center"/>
    </xf>
    <xf numFmtId="2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vertical="center"/>
    </xf>
    <xf numFmtId="0" fontId="6" fillId="0" borderId="0" xfId="3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 indent="1"/>
    </xf>
    <xf numFmtId="164" fontId="4" fillId="0" borderId="0" xfId="3" applyNumberFormat="1" applyFont="1" applyAlignment="1">
      <alignment horizontal="center"/>
    </xf>
    <xf numFmtId="3" fontId="4" fillId="0" borderId="0" xfId="3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0" fontId="4" fillId="0" borderId="0" xfId="3" applyFont="1"/>
  </cellXfs>
  <cellStyles count="4">
    <cellStyle name="Hyperlink" xfId="2" builtinId="8"/>
    <cellStyle name="Normal" xfId="0" builtinId="0"/>
    <cellStyle name="Normal 2" xfId="1" xr:uid="{FB8BBBDE-D627-420D-AF4B-1CC7D6C52F86}"/>
    <cellStyle name="Normal 3" xfId="3" xr:uid="{26529358-5A55-4DB8-8557-AF6F27DD42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139B1-35EF-470D-8335-E326E459ADDF}">
  <sheetPr codeName="Sheet3"/>
  <dimension ref="A1:O948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9.140625" defaultRowHeight="14.25" x14ac:dyDescent="0.2"/>
  <cols>
    <col min="1" max="1" width="13.140625" style="15" customWidth="1"/>
    <col min="2" max="2" width="52.42578125" style="16" customWidth="1"/>
    <col min="3" max="3" width="11.140625" style="15" customWidth="1"/>
    <col min="4" max="4" width="35.7109375" style="16" customWidth="1"/>
    <col min="5" max="5" width="20.7109375" style="15" customWidth="1"/>
    <col min="6" max="6" width="14.7109375" style="15" customWidth="1"/>
    <col min="7" max="7" width="43.140625" style="16" bestFit="1" customWidth="1"/>
    <col min="8" max="8" width="12" style="17" customWidth="1"/>
    <col min="9" max="9" width="11.85546875" style="18" customWidth="1"/>
    <col min="10" max="10" width="8.28515625" style="19" customWidth="1"/>
    <col min="11" max="11" width="40.140625" style="16" customWidth="1"/>
    <col min="12" max="12" width="28.140625" style="16" customWidth="1"/>
    <col min="13" max="14" width="50.7109375" style="16" customWidth="1"/>
    <col min="15" max="16384" width="9.140625" style="20"/>
  </cols>
  <sheetData>
    <row r="1" spans="1:15" s="7" customFormat="1" ht="21" customHeight="1" x14ac:dyDescent="0.25">
      <c r="A1" s="1" t="s">
        <v>0</v>
      </c>
      <c r="B1" s="1"/>
      <c r="C1" s="1"/>
      <c r="D1" s="1"/>
      <c r="E1" s="2"/>
      <c r="F1" s="2"/>
      <c r="G1" s="3"/>
      <c r="H1" s="4"/>
      <c r="I1" s="5"/>
      <c r="J1" s="6"/>
      <c r="K1" s="3"/>
      <c r="L1" s="3"/>
      <c r="M1" s="3"/>
      <c r="N1" s="3"/>
    </row>
    <row r="2" spans="1:15" s="14" customFormat="1" ht="27" customHeight="1" x14ac:dyDescent="0.2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1" t="s">
        <v>9</v>
      </c>
      <c r="J2" s="12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3"/>
    </row>
    <row r="3" spans="1:15" ht="20.100000000000001" customHeight="1" x14ac:dyDescent="0.25">
      <c r="A3" s="15" t="s">
        <v>15</v>
      </c>
      <c r="B3" s="16" t="s">
        <v>16</v>
      </c>
      <c r="C3" s="15">
        <v>8401102</v>
      </c>
      <c r="D3" s="16" t="s">
        <v>17</v>
      </c>
      <c r="E3" s="15" t="s">
        <v>18</v>
      </c>
      <c r="F3" s="21" t="str">
        <f>HYPERLINK("https://psearch.kitsapgov.com/webappa/index.html?parcelID=2636736&amp;Theme=Imagery","2636736")</f>
        <v>2636736</v>
      </c>
      <c r="G3" s="16" t="s">
        <v>19</v>
      </c>
      <c r="H3" s="17">
        <v>43832</v>
      </c>
      <c r="I3" s="18">
        <v>450000</v>
      </c>
      <c r="J3" s="19">
        <v>0</v>
      </c>
      <c r="L3" s="16" t="s">
        <v>20</v>
      </c>
      <c r="M3" s="16" t="s">
        <v>21</v>
      </c>
      <c r="N3" s="16" t="s">
        <v>22</v>
      </c>
    </row>
    <row r="4" spans="1:15" ht="20.100000000000001" customHeight="1" x14ac:dyDescent="0.25">
      <c r="A4" s="15" t="s">
        <v>23</v>
      </c>
      <c r="B4" s="16" t="s">
        <v>24</v>
      </c>
      <c r="C4" s="15">
        <v>8303601</v>
      </c>
      <c r="D4" s="16" t="s">
        <v>25</v>
      </c>
      <c r="E4" s="15" t="s">
        <v>26</v>
      </c>
      <c r="F4" s="21" t="str">
        <f>HYPERLINK("https://psearch.kitsapgov.com/webappa/index.html?parcelID=1302785&amp;Theme=Imagery","1302785")</f>
        <v>1302785</v>
      </c>
      <c r="G4" s="16" t="s">
        <v>27</v>
      </c>
      <c r="H4" s="17">
        <v>43833</v>
      </c>
      <c r="I4" s="18">
        <v>1100000</v>
      </c>
      <c r="J4" s="19">
        <v>0.46</v>
      </c>
      <c r="K4" s="16" t="s">
        <v>28</v>
      </c>
      <c r="L4" s="16" t="s">
        <v>29</v>
      </c>
      <c r="M4" s="16" t="s">
        <v>30</v>
      </c>
      <c r="N4" s="16" t="s">
        <v>31</v>
      </c>
    </row>
    <row r="5" spans="1:15" ht="20.100000000000001" customHeight="1" x14ac:dyDescent="0.25">
      <c r="A5" s="15" t="s">
        <v>32</v>
      </c>
      <c r="B5" s="16" t="s">
        <v>33</v>
      </c>
      <c r="C5" s="15">
        <v>8100507</v>
      </c>
      <c r="D5" s="16" t="s">
        <v>34</v>
      </c>
      <c r="E5" s="15" t="s">
        <v>35</v>
      </c>
      <c r="F5" s="21" t="str">
        <f>HYPERLINK("https://psearch.kitsapgov.com/webappa/index.html?parcelID=1135615&amp;Theme=Imagery","1135615")</f>
        <v>1135615</v>
      </c>
      <c r="G5" s="16" t="s">
        <v>36</v>
      </c>
      <c r="H5" s="17">
        <v>43832</v>
      </c>
      <c r="I5" s="18">
        <v>210000</v>
      </c>
      <c r="J5" s="19">
        <v>0.39</v>
      </c>
      <c r="K5" s="16" t="s">
        <v>37</v>
      </c>
      <c r="L5" s="16" t="s">
        <v>38</v>
      </c>
      <c r="M5" s="16" t="s">
        <v>39</v>
      </c>
      <c r="N5" s="16" t="s">
        <v>40</v>
      </c>
    </row>
    <row r="6" spans="1:15" ht="20.100000000000001" customHeight="1" x14ac:dyDescent="0.25">
      <c r="A6" s="15" t="s">
        <v>41</v>
      </c>
      <c r="B6" s="16" t="s">
        <v>42</v>
      </c>
      <c r="C6" s="15">
        <v>8100507</v>
      </c>
      <c r="D6" s="16" t="s">
        <v>34</v>
      </c>
      <c r="E6" s="15" t="s">
        <v>43</v>
      </c>
      <c r="F6" s="21" t="str">
        <f>HYPERLINK("https://psearch.kitsapgov.com/webappa/index.html?parcelID=1677319&amp;Theme=Imagery","1677319")</f>
        <v>1677319</v>
      </c>
      <c r="G6" s="16" t="s">
        <v>44</v>
      </c>
      <c r="H6" s="17">
        <v>43832</v>
      </c>
      <c r="I6" s="18">
        <v>547000</v>
      </c>
      <c r="J6" s="19">
        <v>0.38</v>
      </c>
      <c r="K6" s="16" t="s">
        <v>37</v>
      </c>
      <c r="L6" s="16" t="s">
        <v>38</v>
      </c>
      <c r="M6" s="16" t="s">
        <v>45</v>
      </c>
      <c r="N6" s="16" t="s">
        <v>46</v>
      </c>
    </row>
    <row r="7" spans="1:15" ht="20.100000000000001" customHeight="1" x14ac:dyDescent="0.25">
      <c r="A7" s="15" t="s">
        <v>47</v>
      </c>
      <c r="B7" s="16" t="s">
        <v>48</v>
      </c>
      <c r="C7" s="15">
        <v>9400203</v>
      </c>
      <c r="D7" s="16" t="s">
        <v>49</v>
      </c>
      <c r="E7" s="15" t="s">
        <v>50</v>
      </c>
      <c r="F7" s="21" t="str">
        <f>HYPERLINK("https://psearch.kitsapgov.com/webappa/index.html?parcelID=2414415&amp;Theme=Imagery","2414415")</f>
        <v>2414415</v>
      </c>
      <c r="G7" s="16" t="s">
        <v>51</v>
      </c>
      <c r="H7" s="17">
        <v>43840</v>
      </c>
      <c r="I7" s="18">
        <v>1315000</v>
      </c>
      <c r="J7" s="19">
        <v>6.42</v>
      </c>
      <c r="K7" s="16" t="s">
        <v>52</v>
      </c>
      <c r="L7" s="16" t="s">
        <v>53</v>
      </c>
      <c r="M7" s="16" t="s">
        <v>54</v>
      </c>
      <c r="N7" s="16" t="s">
        <v>55</v>
      </c>
    </row>
    <row r="8" spans="1:15" ht="20.100000000000001" customHeight="1" x14ac:dyDescent="0.25">
      <c r="A8" s="15" t="s">
        <v>56</v>
      </c>
      <c r="B8" s="16" t="s">
        <v>16</v>
      </c>
      <c r="C8" s="15">
        <v>8303601</v>
      </c>
      <c r="D8" s="16" t="s">
        <v>25</v>
      </c>
      <c r="E8" s="15" t="s">
        <v>57</v>
      </c>
      <c r="F8" s="21" t="str">
        <f>HYPERLINK("https://psearch.kitsapgov.com/webappa/index.html?parcelID=2640050&amp;Theme=Imagery","2640050")</f>
        <v>2640050</v>
      </c>
      <c r="G8" s="16" t="s">
        <v>58</v>
      </c>
      <c r="H8" s="17">
        <v>43837</v>
      </c>
      <c r="I8" s="18">
        <v>310000</v>
      </c>
      <c r="J8" s="19">
        <v>0</v>
      </c>
      <c r="L8" s="16" t="s">
        <v>20</v>
      </c>
      <c r="M8" s="16" t="s">
        <v>59</v>
      </c>
      <c r="N8" s="16" t="s">
        <v>60</v>
      </c>
    </row>
    <row r="9" spans="1:15" ht="20.100000000000001" customHeight="1" x14ac:dyDescent="0.25">
      <c r="A9" s="15" t="s">
        <v>61</v>
      </c>
      <c r="B9" s="16" t="s">
        <v>62</v>
      </c>
      <c r="C9" s="15">
        <v>8100501</v>
      </c>
      <c r="D9" s="16" t="s">
        <v>63</v>
      </c>
      <c r="E9" s="15" t="s">
        <v>64</v>
      </c>
      <c r="F9" s="21" t="str">
        <f>HYPERLINK("https://psearch.kitsapgov.com/webappa/index.html?parcelID=1428366&amp;Theme=Imagery","1428366")</f>
        <v>1428366</v>
      </c>
      <c r="G9" s="16" t="s">
        <v>65</v>
      </c>
      <c r="H9" s="17">
        <v>43840</v>
      </c>
      <c r="I9" s="18">
        <v>320000</v>
      </c>
      <c r="J9" s="19">
        <v>0.28000000000000003</v>
      </c>
      <c r="K9" s="16" t="s">
        <v>66</v>
      </c>
      <c r="L9" s="16" t="s">
        <v>38</v>
      </c>
      <c r="M9" s="16" t="s">
        <v>67</v>
      </c>
      <c r="N9" s="16" t="s">
        <v>68</v>
      </c>
    </row>
    <row r="10" spans="1:15" ht="20.100000000000001" customHeight="1" x14ac:dyDescent="0.25">
      <c r="A10" s="15" t="s">
        <v>69</v>
      </c>
      <c r="B10" s="16" t="s">
        <v>70</v>
      </c>
      <c r="C10" s="15">
        <v>8402405</v>
      </c>
      <c r="D10" s="16" t="s">
        <v>71</v>
      </c>
      <c r="E10" s="15" t="s">
        <v>72</v>
      </c>
      <c r="F10" s="21" t="str">
        <f>HYPERLINK("https://psearch.kitsapgov.com/webappa/index.html?parcelID=2645984&amp;Theme=Imagery","2645984")</f>
        <v>2645984</v>
      </c>
      <c r="G10" s="16" t="s">
        <v>73</v>
      </c>
      <c r="H10" s="17">
        <v>43840</v>
      </c>
      <c r="I10" s="18">
        <v>4039500</v>
      </c>
      <c r="J10" s="19">
        <v>27.49</v>
      </c>
      <c r="K10" s="16" t="s">
        <v>74</v>
      </c>
      <c r="L10" s="16" t="s">
        <v>38</v>
      </c>
      <c r="M10" s="16" t="s">
        <v>75</v>
      </c>
      <c r="N10" s="16" t="s">
        <v>76</v>
      </c>
    </row>
    <row r="11" spans="1:15" ht="20.100000000000001" customHeight="1" x14ac:dyDescent="0.25">
      <c r="A11" s="15" t="s">
        <v>77</v>
      </c>
      <c r="B11" s="16" t="s">
        <v>78</v>
      </c>
      <c r="C11" s="15">
        <v>9402402</v>
      </c>
      <c r="D11" s="16" t="s">
        <v>79</v>
      </c>
      <c r="E11" s="15" t="s">
        <v>80</v>
      </c>
      <c r="F11" s="21" t="str">
        <f>HYPERLINK("https://psearch.kitsapgov.com/webappa/index.html?parcelID=2418432&amp;Theme=Imagery","2418432")</f>
        <v>2418432</v>
      </c>
      <c r="G11" s="16" t="s">
        <v>81</v>
      </c>
      <c r="H11" s="17">
        <v>43846</v>
      </c>
      <c r="I11" s="18">
        <v>345000</v>
      </c>
      <c r="J11" s="19">
        <v>0.64</v>
      </c>
      <c r="K11" s="16" t="s">
        <v>82</v>
      </c>
      <c r="L11" s="16" t="s">
        <v>20</v>
      </c>
      <c r="M11" s="16" t="s">
        <v>83</v>
      </c>
      <c r="N11" s="16" t="s">
        <v>84</v>
      </c>
    </row>
    <row r="12" spans="1:15" ht="20.100000000000001" customHeight="1" x14ac:dyDescent="0.25">
      <c r="A12" s="15" t="s">
        <v>85</v>
      </c>
      <c r="B12" s="16" t="s">
        <v>70</v>
      </c>
      <c r="C12" s="15">
        <v>8402405</v>
      </c>
      <c r="D12" s="16" t="s">
        <v>71</v>
      </c>
      <c r="E12" s="15" t="s">
        <v>86</v>
      </c>
      <c r="F12" s="21" t="str">
        <f>HYPERLINK("https://psearch.kitsapgov.com/webappa/index.html?parcelID=2066447&amp;Theme=Imagery","2066447")</f>
        <v>2066447</v>
      </c>
      <c r="G12" s="16" t="s">
        <v>87</v>
      </c>
      <c r="H12" s="17">
        <v>43846</v>
      </c>
      <c r="I12" s="18">
        <v>1200000</v>
      </c>
      <c r="J12" s="19">
        <v>4.83</v>
      </c>
      <c r="K12" s="16" t="s">
        <v>74</v>
      </c>
      <c r="L12" s="16" t="s">
        <v>20</v>
      </c>
      <c r="M12" s="16" t="s">
        <v>88</v>
      </c>
      <c r="N12" s="16" t="s">
        <v>89</v>
      </c>
    </row>
    <row r="13" spans="1:15" ht="20.100000000000001" customHeight="1" x14ac:dyDescent="0.25">
      <c r="A13" s="15" t="s">
        <v>90</v>
      </c>
      <c r="B13" s="16" t="s">
        <v>24</v>
      </c>
      <c r="C13" s="15">
        <v>8100501</v>
      </c>
      <c r="D13" s="16" t="s">
        <v>63</v>
      </c>
      <c r="E13" s="15" t="s">
        <v>91</v>
      </c>
      <c r="F13" s="21" t="str">
        <f>HYPERLINK("https://psearch.kitsapgov.com/webappa/index.html?parcelID=1427715&amp;Theme=Imagery","1427715")</f>
        <v>1427715</v>
      </c>
      <c r="G13" s="16" t="s">
        <v>92</v>
      </c>
      <c r="H13" s="17">
        <v>43851</v>
      </c>
      <c r="I13" s="18">
        <v>102000</v>
      </c>
      <c r="J13" s="19">
        <v>0.18</v>
      </c>
      <c r="K13" s="16" t="s">
        <v>93</v>
      </c>
      <c r="L13" s="16" t="s">
        <v>94</v>
      </c>
      <c r="M13" s="16" t="s">
        <v>95</v>
      </c>
      <c r="N13" s="16" t="s">
        <v>96</v>
      </c>
    </row>
    <row r="14" spans="1:15" ht="20.100000000000001" customHeight="1" x14ac:dyDescent="0.25">
      <c r="A14" s="15" t="s">
        <v>97</v>
      </c>
      <c r="B14" s="16" t="s">
        <v>98</v>
      </c>
      <c r="C14" s="15">
        <v>8400206</v>
      </c>
      <c r="D14" s="16" t="s">
        <v>99</v>
      </c>
      <c r="E14" s="15" t="s">
        <v>100</v>
      </c>
      <c r="F14" s="21" t="str">
        <f>HYPERLINK("https://psearch.kitsapgov.com/webappa/index.html?parcelID=2071074&amp;Theme=Imagery","2071074")</f>
        <v>2071074</v>
      </c>
      <c r="G14" s="16" t="s">
        <v>101</v>
      </c>
      <c r="H14" s="17">
        <v>43851</v>
      </c>
      <c r="I14" s="18">
        <v>43000</v>
      </c>
      <c r="J14" s="19">
        <v>0</v>
      </c>
      <c r="L14" s="16" t="s">
        <v>20</v>
      </c>
      <c r="M14" s="16" t="s">
        <v>102</v>
      </c>
      <c r="N14" s="16" t="s">
        <v>103</v>
      </c>
    </row>
    <row r="15" spans="1:15" ht="20.100000000000001" customHeight="1" x14ac:dyDescent="0.25">
      <c r="A15" s="15" t="s">
        <v>104</v>
      </c>
      <c r="B15" s="16" t="s">
        <v>105</v>
      </c>
      <c r="C15" s="15">
        <v>8100510</v>
      </c>
      <c r="D15" s="16" t="s">
        <v>106</v>
      </c>
      <c r="E15" s="15" t="s">
        <v>107</v>
      </c>
      <c r="F15" s="21" t="str">
        <f>HYPERLINK("https://psearch.kitsapgov.com/webappa/index.html?parcelID=1438605&amp;Theme=Imagery","1438605")</f>
        <v>1438605</v>
      </c>
      <c r="G15" s="16" t="s">
        <v>108</v>
      </c>
      <c r="H15" s="17">
        <v>43851</v>
      </c>
      <c r="I15" s="18">
        <v>76500</v>
      </c>
      <c r="J15" s="19">
        <v>0.22</v>
      </c>
      <c r="K15" s="16" t="s">
        <v>109</v>
      </c>
      <c r="L15" s="16" t="s">
        <v>20</v>
      </c>
      <c r="M15" s="16" t="s">
        <v>110</v>
      </c>
      <c r="N15" s="16" t="s">
        <v>111</v>
      </c>
    </row>
    <row r="16" spans="1:15" ht="20.100000000000001" customHeight="1" x14ac:dyDescent="0.25">
      <c r="A16" s="15" t="s">
        <v>112</v>
      </c>
      <c r="B16" s="16" t="s">
        <v>105</v>
      </c>
      <c r="C16" s="15">
        <v>9400203</v>
      </c>
      <c r="D16" s="16" t="s">
        <v>49</v>
      </c>
      <c r="E16" s="15" t="s">
        <v>113</v>
      </c>
      <c r="F16" s="21" t="str">
        <f>HYPERLINK("https://psearch.kitsapgov.com/webappa/index.html?parcelID=1333210&amp;Theme=Imagery","1333210")</f>
        <v>1333210</v>
      </c>
      <c r="G16" s="16" t="s">
        <v>114</v>
      </c>
      <c r="H16" s="17">
        <v>43851</v>
      </c>
      <c r="I16" s="18">
        <v>810000</v>
      </c>
      <c r="J16" s="19">
        <v>1.95</v>
      </c>
      <c r="K16" s="16" t="s">
        <v>115</v>
      </c>
      <c r="L16" s="16" t="s">
        <v>116</v>
      </c>
      <c r="M16" s="16" t="s">
        <v>117</v>
      </c>
      <c r="N16" s="16" t="s">
        <v>118</v>
      </c>
    </row>
    <row r="17" spans="1:14" ht="20.100000000000001" customHeight="1" x14ac:dyDescent="0.25">
      <c r="A17" s="15" t="s">
        <v>119</v>
      </c>
      <c r="B17" s="16" t="s">
        <v>70</v>
      </c>
      <c r="C17" s="15">
        <v>8402405</v>
      </c>
      <c r="D17" s="16" t="s">
        <v>71</v>
      </c>
      <c r="E17" s="15" t="s">
        <v>120</v>
      </c>
      <c r="F17" s="21" t="str">
        <f>HYPERLINK("https://psearch.kitsapgov.com/webappa/index.html?parcelID=1211309&amp;Theme=Imagery","1211309")</f>
        <v>1211309</v>
      </c>
      <c r="G17" s="16" t="s">
        <v>121</v>
      </c>
      <c r="H17" s="17">
        <v>43858</v>
      </c>
      <c r="I17" s="18">
        <v>265000</v>
      </c>
      <c r="J17" s="19">
        <v>1.58</v>
      </c>
      <c r="K17" s="16" t="s">
        <v>82</v>
      </c>
      <c r="L17" s="16" t="s">
        <v>20</v>
      </c>
      <c r="M17" s="16" t="s">
        <v>122</v>
      </c>
      <c r="N17" s="16" t="s">
        <v>123</v>
      </c>
    </row>
    <row r="18" spans="1:14" ht="20.100000000000001" customHeight="1" x14ac:dyDescent="0.25">
      <c r="A18" s="15" t="s">
        <v>124</v>
      </c>
      <c r="B18" s="16" t="s">
        <v>105</v>
      </c>
      <c r="C18" s="15">
        <v>8402405</v>
      </c>
      <c r="D18" s="16" t="s">
        <v>71</v>
      </c>
      <c r="E18" s="15" t="s">
        <v>125</v>
      </c>
      <c r="F18" s="21" t="str">
        <f>HYPERLINK("https://psearch.kitsapgov.com/webappa/index.html?parcelID=2589760&amp;Theme=Imagery","2589760")</f>
        <v>2589760</v>
      </c>
      <c r="G18" s="16" t="s">
        <v>126</v>
      </c>
      <c r="H18" s="17">
        <v>43859</v>
      </c>
      <c r="I18" s="18">
        <v>188400</v>
      </c>
      <c r="J18" s="19">
        <v>3.18</v>
      </c>
      <c r="K18" s="16" t="s">
        <v>74</v>
      </c>
      <c r="L18" s="16" t="s">
        <v>38</v>
      </c>
      <c r="M18" s="16" t="s">
        <v>127</v>
      </c>
      <c r="N18" s="16" t="s">
        <v>128</v>
      </c>
    </row>
    <row r="19" spans="1:14" ht="20.100000000000001" customHeight="1" x14ac:dyDescent="0.25">
      <c r="A19" s="15" t="s">
        <v>129</v>
      </c>
      <c r="B19" s="16" t="s">
        <v>130</v>
      </c>
      <c r="C19" s="15">
        <v>8402307</v>
      </c>
      <c r="D19" s="16" t="s">
        <v>131</v>
      </c>
      <c r="E19" s="15" t="s">
        <v>132</v>
      </c>
      <c r="F19" s="21" t="str">
        <f>HYPERLINK("https://psearch.kitsapgov.com/webappa/index.html?parcelID=2285955&amp;Theme=Imagery","2285955")</f>
        <v>2285955</v>
      </c>
      <c r="G19" s="16" t="s">
        <v>133</v>
      </c>
      <c r="H19" s="17">
        <v>43851</v>
      </c>
      <c r="I19" s="18">
        <v>1150000</v>
      </c>
      <c r="J19" s="19">
        <v>0.41</v>
      </c>
      <c r="K19" s="16" t="s">
        <v>37</v>
      </c>
      <c r="L19" s="16" t="s">
        <v>38</v>
      </c>
      <c r="M19" s="16" t="s">
        <v>134</v>
      </c>
      <c r="N19" s="16" t="s">
        <v>135</v>
      </c>
    </row>
    <row r="20" spans="1:14" ht="20.100000000000001" customHeight="1" x14ac:dyDescent="0.25">
      <c r="A20" s="15" t="s">
        <v>136</v>
      </c>
      <c r="B20" s="16" t="s">
        <v>16</v>
      </c>
      <c r="C20" s="15">
        <v>8303601</v>
      </c>
      <c r="D20" s="16" t="s">
        <v>25</v>
      </c>
      <c r="E20" s="15" t="s">
        <v>137</v>
      </c>
      <c r="F20" s="21" t="str">
        <f>HYPERLINK("https://psearch.kitsapgov.com/webappa/index.html?parcelID=2333631&amp;Theme=Imagery","2333631")</f>
        <v>2333631</v>
      </c>
      <c r="G20" s="16" t="s">
        <v>138</v>
      </c>
      <c r="H20" s="17">
        <v>43843</v>
      </c>
      <c r="I20" s="18">
        <v>475000</v>
      </c>
      <c r="J20" s="19">
        <v>0</v>
      </c>
      <c r="L20" s="16" t="s">
        <v>20</v>
      </c>
      <c r="M20" s="16" t="s">
        <v>139</v>
      </c>
      <c r="N20" s="16" t="s">
        <v>140</v>
      </c>
    </row>
    <row r="21" spans="1:14" ht="20.100000000000001" customHeight="1" x14ac:dyDescent="0.25">
      <c r="A21" s="15" t="s">
        <v>141</v>
      </c>
      <c r="B21" s="16" t="s">
        <v>105</v>
      </c>
      <c r="C21" s="15">
        <v>8100502</v>
      </c>
      <c r="D21" s="16" t="s">
        <v>142</v>
      </c>
      <c r="E21" s="15" t="s">
        <v>143</v>
      </c>
      <c r="F21" s="21" t="str">
        <f>HYPERLINK("https://psearch.kitsapgov.com/webappa/index.html?parcelID=1151802&amp;Theme=Imagery","1151802")</f>
        <v>1151802</v>
      </c>
      <c r="G21" s="16" t="s">
        <v>144</v>
      </c>
      <c r="H21" s="17">
        <v>43864</v>
      </c>
      <c r="I21" s="18">
        <v>482920</v>
      </c>
      <c r="J21" s="19">
        <v>1.0900000000000001</v>
      </c>
      <c r="K21" s="16" t="s">
        <v>145</v>
      </c>
      <c r="L21" s="16" t="s">
        <v>20</v>
      </c>
      <c r="M21" s="16" t="s">
        <v>146</v>
      </c>
      <c r="N21" s="16" t="s">
        <v>147</v>
      </c>
    </row>
    <row r="22" spans="1:14" ht="20.100000000000001" customHeight="1" x14ac:dyDescent="0.25">
      <c r="A22" s="15" t="s">
        <v>148</v>
      </c>
      <c r="B22" s="16" t="s">
        <v>70</v>
      </c>
      <c r="C22" s="15">
        <v>8100502</v>
      </c>
      <c r="D22" s="16" t="s">
        <v>142</v>
      </c>
      <c r="E22" s="15" t="s">
        <v>149</v>
      </c>
      <c r="F22" s="21" t="str">
        <f>HYPERLINK("https://psearch.kitsapgov.com/webappa/index.html?parcelID=2114544&amp;Theme=Imagery","2114544")</f>
        <v>2114544</v>
      </c>
      <c r="G22" s="16" t="s">
        <v>150</v>
      </c>
      <c r="H22" s="17">
        <v>43864</v>
      </c>
      <c r="I22" s="18">
        <v>779880</v>
      </c>
      <c r="J22" s="19">
        <v>5.4</v>
      </c>
      <c r="K22" s="16" t="s">
        <v>145</v>
      </c>
      <c r="L22" s="16" t="s">
        <v>38</v>
      </c>
      <c r="M22" s="16" t="s">
        <v>151</v>
      </c>
      <c r="N22" s="16" t="s">
        <v>147</v>
      </c>
    </row>
    <row r="23" spans="1:14" ht="20.100000000000001" customHeight="1" x14ac:dyDescent="0.25">
      <c r="A23" s="15" t="s">
        <v>152</v>
      </c>
      <c r="B23" s="16" t="s">
        <v>153</v>
      </c>
      <c r="C23" s="15">
        <v>8100510</v>
      </c>
      <c r="D23" s="16" t="s">
        <v>106</v>
      </c>
      <c r="E23" s="15" t="s">
        <v>154</v>
      </c>
      <c r="F23" s="21" t="str">
        <f>HYPERLINK("https://psearch.kitsapgov.com/webappa/index.html?parcelID=1438316&amp;Theme=Imagery","1438316")</f>
        <v>1438316</v>
      </c>
      <c r="G23" s="16" t="s">
        <v>155</v>
      </c>
      <c r="H23" s="17">
        <v>43868</v>
      </c>
      <c r="I23" s="18">
        <v>135000</v>
      </c>
      <c r="J23" s="19">
        <v>0.43</v>
      </c>
      <c r="K23" s="16" t="s">
        <v>109</v>
      </c>
      <c r="L23" s="16" t="s">
        <v>38</v>
      </c>
      <c r="M23" s="16" t="s">
        <v>156</v>
      </c>
      <c r="N23" s="16" t="s">
        <v>157</v>
      </c>
    </row>
    <row r="24" spans="1:14" ht="20.100000000000001" customHeight="1" x14ac:dyDescent="0.25">
      <c r="A24" s="15" t="s">
        <v>158</v>
      </c>
      <c r="B24" s="16" t="s">
        <v>159</v>
      </c>
      <c r="C24" s="15">
        <v>8402408</v>
      </c>
      <c r="D24" s="16" t="s">
        <v>160</v>
      </c>
      <c r="E24" s="15" t="s">
        <v>161</v>
      </c>
      <c r="F24" s="21" t="str">
        <f>HYPERLINK("https://psearch.kitsapgov.com/webappa/index.html?parcelID=2446425&amp;Theme=Imagery","2446425")</f>
        <v>2446425</v>
      </c>
      <c r="G24" s="16" t="s">
        <v>162</v>
      </c>
      <c r="H24" s="17">
        <v>43865</v>
      </c>
      <c r="I24" s="18">
        <v>395000</v>
      </c>
      <c r="J24" s="19">
        <v>0.68</v>
      </c>
      <c r="K24" s="16" t="s">
        <v>37</v>
      </c>
      <c r="L24" s="16" t="s">
        <v>20</v>
      </c>
      <c r="M24" s="16" t="s">
        <v>163</v>
      </c>
      <c r="N24" s="16" t="s">
        <v>164</v>
      </c>
    </row>
    <row r="25" spans="1:14" ht="20.100000000000001" customHeight="1" x14ac:dyDescent="0.25">
      <c r="A25" s="15" t="s">
        <v>165</v>
      </c>
      <c r="B25" s="16" t="s">
        <v>62</v>
      </c>
      <c r="C25" s="15">
        <v>8100502</v>
      </c>
      <c r="D25" s="16" t="s">
        <v>142</v>
      </c>
      <c r="E25" s="15" t="s">
        <v>166</v>
      </c>
      <c r="F25" s="21" t="str">
        <f>HYPERLINK("https://psearch.kitsapgov.com/webappa/index.html?parcelID=1453927&amp;Theme=Imagery","1453927")</f>
        <v>1453927</v>
      </c>
      <c r="G25" s="16" t="s">
        <v>167</v>
      </c>
      <c r="H25" s="17">
        <v>43868</v>
      </c>
      <c r="I25" s="18">
        <v>490000</v>
      </c>
      <c r="J25" s="19">
        <v>0.18</v>
      </c>
      <c r="K25" s="16" t="s">
        <v>168</v>
      </c>
      <c r="L25" s="16" t="s">
        <v>20</v>
      </c>
      <c r="M25" s="16" t="s">
        <v>169</v>
      </c>
      <c r="N25" s="16" t="s">
        <v>170</v>
      </c>
    </row>
    <row r="26" spans="1:14" ht="20.100000000000001" customHeight="1" x14ac:dyDescent="0.25">
      <c r="A26" s="15" t="s">
        <v>171</v>
      </c>
      <c r="B26" s="16" t="s">
        <v>172</v>
      </c>
      <c r="C26" s="15">
        <v>9402390</v>
      </c>
      <c r="D26" s="16" t="s">
        <v>173</v>
      </c>
      <c r="E26" s="15" t="s">
        <v>174</v>
      </c>
      <c r="F26" s="21" t="str">
        <f>HYPERLINK("https://psearch.kitsapgov.com/webappa/index.html?parcelID=1768001&amp;Theme=Imagery","1768001")</f>
        <v>1768001</v>
      </c>
      <c r="G26" s="16" t="s">
        <v>175</v>
      </c>
      <c r="H26" s="17">
        <v>43871</v>
      </c>
      <c r="I26" s="18">
        <v>1276000</v>
      </c>
      <c r="J26" s="19">
        <v>0.44</v>
      </c>
      <c r="K26" s="16" t="s">
        <v>176</v>
      </c>
      <c r="L26" s="16" t="s">
        <v>38</v>
      </c>
      <c r="M26" s="16" t="s">
        <v>177</v>
      </c>
      <c r="N26" s="16" t="s">
        <v>178</v>
      </c>
    </row>
    <row r="27" spans="1:14" ht="20.100000000000001" customHeight="1" x14ac:dyDescent="0.25">
      <c r="A27" s="15" t="s">
        <v>179</v>
      </c>
      <c r="B27" s="16" t="s">
        <v>70</v>
      </c>
      <c r="C27" s="15">
        <v>8402408</v>
      </c>
      <c r="D27" s="16" t="s">
        <v>160</v>
      </c>
      <c r="E27" s="15" t="s">
        <v>180</v>
      </c>
      <c r="F27" s="21" t="str">
        <f>HYPERLINK("https://psearch.kitsapgov.com/webappa/index.html?parcelID=1167923&amp;Theme=Imagery","1167923")</f>
        <v>1167923</v>
      </c>
      <c r="G27" s="16" t="s">
        <v>181</v>
      </c>
      <c r="H27" s="17">
        <v>43872</v>
      </c>
      <c r="I27" s="18">
        <v>325000</v>
      </c>
      <c r="J27" s="19">
        <v>0.69</v>
      </c>
      <c r="K27" s="16" t="s">
        <v>37</v>
      </c>
      <c r="L27" s="16" t="s">
        <v>20</v>
      </c>
      <c r="M27" s="16" t="s">
        <v>182</v>
      </c>
      <c r="N27" s="16" t="s">
        <v>183</v>
      </c>
    </row>
    <row r="28" spans="1:14" ht="20.100000000000001" customHeight="1" x14ac:dyDescent="0.25">
      <c r="A28" s="15" t="s">
        <v>184</v>
      </c>
      <c r="B28" s="16" t="s">
        <v>185</v>
      </c>
      <c r="C28" s="15">
        <v>9100541</v>
      </c>
      <c r="D28" s="16" t="s">
        <v>186</v>
      </c>
      <c r="E28" s="15" t="s">
        <v>187</v>
      </c>
      <c r="F28" s="21" t="str">
        <f>HYPERLINK("https://psearch.kitsapgov.com/webappa/index.html?parcelID=1429018&amp;Theme=Imagery","1429018")</f>
        <v>1429018</v>
      </c>
      <c r="G28" s="16" t="s">
        <v>188</v>
      </c>
      <c r="H28" s="17">
        <v>43875</v>
      </c>
      <c r="I28" s="18">
        <v>415000</v>
      </c>
      <c r="J28" s="19">
        <v>0.09</v>
      </c>
      <c r="K28" s="16" t="s">
        <v>189</v>
      </c>
      <c r="L28" s="16" t="s">
        <v>190</v>
      </c>
      <c r="M28" s="16" t="s">
        <v>191</v>
      </c>
      <c r="N28" s="16" t="s">
        <v>192</v>
      </c>
    </row>
    <row r="29" spans="1:14" ht="20.100000000000001" customHeight="1" x14ac:dyDescent="0.25">
      <c r="A29" s="15" t="s">
        <v>193</v>
      </c>
      <c r="B29" s="16" t="s">
        <v>130</v>
      </c>
      <c r="C29" s="15">
        <v>8400204</v>
      </c>
      <c r="D29" s="16" t="s">
        <v>194</v>
      </c>
      <c r="E29" s="15" t="s">
        <v>195</v>
      </c>
      <c r="F29" s="21" t="str">
        <f>HYPERLINK("https://psearch.kitsapgov.com/webappa/index.html?parcelID=1234061&amp;Theme=Imagery","1234061")</f>
        <v>1234061</v>
      </c>
      <c r="G29" s="16" t="s">
        <v>196</v>
      </c>
      <c r="H29" s="17">
        <v>43877</v>
      </c>
      <c r="I29" s="18">
        <v>300000</v>
      </c>
      <c r="J29" s="19">
        <v>0.36</v>
      </c>
      <c r="K29" s="16" t="s">
        <v>82</v>
      </c>
      <c r="L29" s="16" t="s">
        <v>20</v>
      </c>
      <c r="M29" s="16" t="s">
        <v>197</v>
      </c>
      <c r="N29" s="16" t="s">
        <v>198</v>
      </c>
    </row>
    <row r="30" spans="1:14" ht="20.100000000000001" customHeight="1" x14ac:dyDescent="0.25">
      <c r="A30" s="15" t="s">
        <v>199</v>
      </c>
      <c r="B30" s="16" t="s">
        <v>70</v>
      </c>
      <c r="C30" s="15">
        <v>8100502</v>
      </c>
      <c r="D30" s="16" t="s">
        <v>142</v>
      </c>
      <c r="E30" s="15" t="s">
        <v>149</v>
      </c>
      <c r="F30" s="21" t="str">
        <f>HYPERLINK("https://psearch.kitsapgov.com/webappa/index.html?parcelID=2114544&amp;Theme=Imagery","2114544")</f>
        <v>2114544</v>
      </c>
      <c r="G30" s="16" t="s">
        <v>150</v>
      </c>
      <c r="H30" s="17">
        <v>43872</v>
      </c>
      <c r="I30" s="18">
        <v>2307855</v>
      </c>
      <c r="J30" s="19">
        <v>5.4</v>
      </c>
      <c r="K30" s="16" t="s">
        <v>145</v>
      </c>
      <c r="L30" s="16" t="s">
        <v>94</v>
      </c>
      <c r="M30" s="16" t="s">
        <v>200</v>
      </c>
      <c r="N30" s="16" t="s">
        <v>147</v>
      </c>
    </row>
    <row r="31" spans="1:14" ht="20.100000000000001" customHeight="1" x14ac:dyDescent="0.25">
      <c r="A31" s="15" t="s">
        <v>201</v>
      </c>
      <c r="B31" s="16" t="s">
        <v>202</v>
      </c>
      <c r="C31" s="15">
        <v>9402402</v>
      </c>
      <c r="D31" s="16" t="s">
        <v>79</v>
      </c>
      <c r="E31" s="15" t="s">
        <v>203</v>
      </c>
      <c r="F31" s="21" t="str">
        <f>HYPERLINK("https://psearch.kitsapgov.com/webappa/index.html?parcelID=1776236&amp;Theme=Imagery","1776236")</f>
        <v>1776236</v>
      </c>
      <c r="G31" s="16" t="s">
        <v>204</v>
      </c>
      <c r="H31" s="17">
        <v>43879</v>
      </c>
      <c r="I31" s="18">
        <v>398887</v>
      </c>
      <c r="J31" s="19">
        <v>1.72</v>
      </c>
      <c r="K31" s="16" t="s">
        <v>205</v>
      </c>
      <c r="L31" s="16" t="s">
        <v>190</v>
      </c>
      <c r="M31" s="16" t="s">
        <v>206</v>
      </c>
      <c r="N31" s="16" t="s">
        <v>207</v>
      </c>
    </row>
    <row r="32" spans="1:14" ht="20.100000000000001" customHeight="1" x14ac:dyDescent="0.25">
      <c r="A32" s="15" t="s">
        <v>208</v>
      </c>
      <c r="B32" s="16" t="s">
        <v>209</v>
      </c>
      <c r="C32" s="15">
        <v>8100504</v>
      </c>
      <c r="D32" s="16" t="s">
        <v>210</v>
      </c>
      <c r="E32" s="15" t="s">
        <v>211</v>
      </c>
      <c r="F32" s="21" t="str">
        <f>HYPERLINK("https://psearch.kitsapgov.com/webappa/index.html?parcelID=1716331&amp;Theme=Imagery","1716331")</f>
        <v>1716331</v>
      </c>
      <c r="G32" s="16" t="s">
        <v>212</v>
      </c>
      <c r="H32" s="17">
        <v>43885</v>
      </c>
      <c r="I32" s="18">
        <v>377000</v>
      </c>
      <c r="J32" s="19">
        <v>0.15</v>
      </c>
      <c r="K32" s="16" t="s">
        <v>37</v>
      </c>
      <c r="L32" s="16" t="s">
        <v>213</v>
      </c>
      <c r="M32" s="16" t="s">
        <v>214</v>
      </c>
      <c r="N32" s="16" t="s">
        <v>215</v>
      </c>
    </row>
    <row r="33" spans="1:14" ht="20.100000000000001" customHeight="1" x14ac:dyDescent="0.25">
      <c r="A33" s="15" t="s">
        <v>216</v>
      </c>
      <c r="B33" s="16" t="s">
        <v>98</v>
      </c>
      <c r="C33" s="15">
        <v>8400206</v>
      </c>
      <c r="D33" s="16" t="s">
        <v>99</v>
      </c>
      <c r="E33" s="15" t="s">
        <v>217</v>
      </c>
      <c r="F33" s="21" t="str">
        <f>HYPERLINK("https://psearch.kitsapgov.com/webappa/index.html?parcelID=2070787&amp;Theme=Imagery","2070787")</f>
        <v>2070787</v>
      </c>
      <c r="G33" s="16" t="s">
        <v>218</v>
      </c>
      <c r="H33" s="17">
        <v>43889</v>
      </c>
      <c r="I33" s="18">
        <v>48000</v>
      </c>
      <c r="J33" s="19">
        <v>0</v>
      </c>
      <c r="L33" s="16" t="s">
        <v>20</v>
      </c>
      <c r="M33" s="16" t="s">
        <v>219</v>
      </c>
      <c r="N33" s="16" t="s">
        <v>220</v>
      </c>
    </row>
    <row r="34" spans="1:14" ht="20.100000000000001" customHeight="1" x14ac:dyDescent="0.25">
      <c r="A34" s="15" t="s">
        <v>221</v>
      </c>
      <c r="B34" s="16" t="s">
        <v>222</v>
      </c>
      <c r="C34" s="15">
        <v>9402407</v>
      </c>
      <c r="D34" s="16" t="s">
        <v>223</v>
      </c>
      <c r="E34" s="15" t="s">
        <v>224</v>
      </c>
      <c r="F34" s="21" t="str">
        <f>HYPERLINK("https://psearch.kitsapgov.com/webappa/index.html?parcelID=2155950&amp;Theme=Imagery","2155950")</f>
        <v>2155950</v>
      </c>
      <c r="G34" s="16" t="s">
        <v>225</v>
      </c>
      <c r="H34" s="17">
        <v>43889</v>
      </c>
      <c r="I34" s="18">
        <v>376500</v>
      </c>
      <c r="J34" s="19">
        <v>0.26</v>
      </c>
      <c r="K34" s="16" t="s">
        <v>37</v>
      </c>
      <c r="L34" s="16" t="s">
        <v>20</v>
      </c>
      <c r="M34" s="16" t="s">
        <v>226</v>
      </c>
      <c r="N34" s="16" t="s">
        <v>227</v>
      </c>
    </row>
    <row r="35" spans="1:14" ht="20.100000000000001" customHeight="1" x14ac:dyDescent="0.25">
      <c r="A35" s="15" t="s">
        <v>228</v>
      </c>
      <c r="B35" s="16" t="s">
        <v>229</v>
      </c>
      <c r="C35" s="15">
        <v>9402390</v>
      </c>
      <c r="D35" s="16" t="s">
        <v>173</v>
      </c>
      <c r="E35" s="15" t="s">
        <v>230</v>
      </c>
      <c r="F35" s="21" t="str">
        <f>HYPERLINK("https://psearch.kitsapgov.com/webappa/index.html?parcelID=1033604&amp;Theme=Imagery","1033604")</f>
        <v>1033604</v>
      </c>
      <c r="G35" s="16" t="s">
        <v>231</v>
      </c>
      <c r="H35" s="17">
        <v>43864</v>
      </c>
      <c r="I35" s="18">
        <v>4000</v>
      </c>
      <c r="J35" s="19">
        <v>2.09</v>
      </c>
      <c r="K35" s="16" t="s">
        <v>176</v>
      </c>
      <c r="L35" s="16" t="s">
        <v>232</v>
      </c>
      <c r="M35" s="16" t="s">
        <v>233</v>
      </c>
      <c r="N35" s="16" t="s">
        <v>234</v>
      </c>
    </row>
    <row r="36" spans="1:14" ht="20.100000000000001" customHeight="1" x14ac:dyDescent="0.25">
      <c r="A36" s="15" t="s">
        <v>235</v>
      </c>
      <c r="B36" s="16" t="s">
        <v>130</v>
      </c>
      <c r="C36" s="15">
        <v>8100502</v>
      </c>
      <c r="D36" s="16" t="s">
        <v>142</v>
      </c>
      <c r="E36" s="15" t="s">
        <v>236</v>
      </c>
      <c r="F36" s="21" t="str">
        <f>HYPERLINK("https://psearch.kitsapgov.com/webappa/index.html?parcelID=2024255&amp;Theme=Imagery","2024255")</f>
        <v>2024255</v>
      </c>
      <c r="G36" s="16" t="s">
        <v>237</v>
      </c>
      <c r="H36" s="17">
        <v>43891</v>
      </c>
      <c r="I36" s="18">
        <v>464760</v>
      </c>
      <c r="J36" s="19">
        <v>1.1499999999999999</v>
      </c>
      <c r="K36" s="16" t="s">
        <v>145</v>
      </c>
      <c r="L36" s="16" t="s">
        <v>20</v>
      </c>
      <c r="M36" s="16" t="s">
        <v>238</v>
      </c>
      <c r="N36" s="16" t="s">
        <v>239</v>
      </c>
    </row>
    <row r="37" spans="1:14" ht="20.100000000000001" customHeight="1" x14ac:dyDescent="0.25">
      <c r="A37" s="15" t="s">
        <v>240</v>
      </c>
      <c r="B37" s="16" t="s">
        <v>78</v>
      </c>
      <c r="C37" s="15">
        <v>8401104</v>
      </c>
      <c r="D37" s="16" t="s">
        <v>241</v>
      </c>
      <c r="E37" s="15" t="s">
        <v>242</v>
      </c>
      <c r="F37" s="21" t="str">
        <f>HYPERLINK("https://psearch.kitsapgov.com/webappa/index.html?parcelID=1116326&amp;Theme=Imagery","1116326")</f>
        <v>1116326</v>
      </c>
      <c r="G37" s="16" t="s">
        <v>243</v>
      </c>
      <c r="H37" s="17">
        <v>43893</v>
      </c>
      <c r="I37" s="18">
        <v>280000</v>
      </c>
      <c r="J37" s="19">
        <v>0.17</v>
      </c>
      <c r="K37" s="16" t="s">
        <v>82</v>
      </c>
      <c r="L37" s="16" t="s">
        <v>53</v>
      </c>
      <c r="M37" s="16" t="s">
        <v>244</v>
      </c>
      <c r="N37" s="16" t="s">
        <v>245</v>
      </c>
    </row>
    <row r="38" spans="1:14" ht="20.100000000000001" customHeight="1" x14ac:dyDescent="0.25">
      <c r="A38" s="15" t="s">
        <v>246</v>
      </c>
      <c r="B38" s="16" t="s">
        <v>98</v>
      </c>
      <c r="C38" s="15">
        <v>8400206</v>
      </c>
      <c r="D38" s="16" t="s">
        <v>99</v>
      </c>
      <c r="E38" s="15" t="s">
        <v>247</v>
      </c>
      <c r="F38" s="21" t="str">
        <f>HYPERLINK("https://psearch.kitsapgov.com/webappa/index.html?parcelID=2071876&amp;Theme=Imagery","2071876")</f>
        <v>2071876</v>
      </c>
      <c r="G38" s="16" t="s">
        <v>248</v>
      </c>
      <c r="H38" s="17">
        <v>43894</v>
      </c>
      <c r="I38" s="18">
        <v>12000</v>
      </c>
      <c r="J38" s="19">
        <v>0</v>
      </c>
      <c r="L38" s="16" t="s">
        <v>20</v>
      </c>
      <c r="M38" s="16" t="s">
        <v>249</v>
      </c>
      <c r="N38" s="16" t="s">
        <v>250</v>
      </c>
    </row>
    <row r="39" spans="1:14" ht="20.100000000000001" customHeight="1" x14ac:dyDescent="0.25">
      <c r="A39" s="15" t="s">
        <v>251</v>
      </c>
      <c r="B39" s="16" t="s">
        <v>98</v>
      </c>
      <c r="C39" s="15">
        <v>8303660</v>
      </c>
      <c r="D39" s="16" t="s">
        <v>252</v>
      </c>
      <c r="E39" s="15" t="s">
        <v>253</v>
      </c>
      <c r="F39" s="21" t="str">
        <f>HYPERLINK("https://psearch.kitsapgov.com/webappa/index.html?parcelID=1881242&amp;Theme=Imagery","1881242")</f>
        <v>1881242</v>
      </c>
      <c r="G39" s="16" t="s">
        <v>254</v>
      </c>
      <c r="H39" s="17">
        <v>43885</v>
      </c>
      <c r="I39" s="18">
        <v>112500</v>
      </c>
      <c r="J39" s="19">
        <v>0</v>
      </c>
      <c r="L39" s="16" t="s">
        <v>20</v>
      </c>
      <c r="M39" s="16" t="s">
        <v>255</v>
      </c>
      <c r="N39" s="16" t="s">
        <v>256</v>
      </c>
    </row>
    <row r="40" spans="1:14" ht="20.100000000000001" customHeight="1" x14ac:dyDescent="0.25">
      <c r="A40" s="15" t="s">
        <v>257</v>
      </c>
      <c r="B40" s="16" t="s">
        <v>98</v>
      </c>
      <c r="C40" s="15">
        <v>8400206</v>
      </c>
      <c r="D40" s="16" t="s">
        <v>99</v>
      </c>
      <c r="E40" s="15" t="s">
        <v>258</v>
      </c>
      <c r="F40" s="21" t="str">
        <f>HYPERLINK("https://psearch.kitsapgov.com/webappa/index.html?parcelID=2070977&amp;Theme=Imagery","2070977")</f>
        <v>2070977</v>
      </c>
      <c r="G40" s="16" t="s">
        <v>101</v>
      </c>
      <c r="H40" s="17">
        <v>43893</v>
      </c>
      <c r="I40" s="18">
        <v>40000</v>
      </c>
      <c r="J40" s="19">
        <v>0</v>
      </c>
      <c r="L40" s="16" t="s">
        <v>20</v>
      </c>
      <c r="M40" s="16" t="s">
        <v>259</v>
      </c>
      <c r="N40" s="16" t="s">
        <v>260</v>
      </c>
    </row>
    <row r="41" spans="1:14" ht="20.100000000000001" customHeight="1" x14ac:dyDescent="0.25">
      <c r="A41" s="15" t="s">
        <v>261</v>
      </c>
      <c r="B41" s="16" t="s">
        <v>262</v>
      </c>
      <c r="C41" s="15">
        <v>8303601</v>
      </c>
      <c r="D41" s="16" t="s">
        <v>25</v>
      </c>
      <c r="E41" s="15" t="s">
        <v>263</v>
      </c>
      <c r="F41" s="21" t="str">
        <f>HYPERLINK("https://psearch.kitsapgov.com/webappa/index.html?parcelID=2303253&amp;Theme=Imagery","2303253")</f>
        <v>2303253</v>
      </c>
      <c r="G41" s="16" t="s">
        <v>264</v>
      </c>
      <c r="H41" s="17">
        <v>43895</v>
      </c>
      <c r="I41" s="18">
        <v>450000</v>
      </c>
      <c r="J41" s="19">
        <v>0.22</v>
      </c>
      <c r="K41" s="16" t="s">
        <v>265</v>
      </c>
      <c r="L41" s="16" t="s">
        <v>213</v>
      </c>
      <c r="M41" s="16" t="s">
        <v>266</v>
      </c>
      <c r="N41" s="16" t="s">
        <v>267</v>
      </c>
    </row>
    <row r="42" spans="1:14" ht="20.100000000000001" customHeight="1" x14ac:dyDescent="0.25">
      <c r="A42" s="15" t="s">
        <v>268</v>
      </c>
      <c r="B42" s="16" t="s">
        <v>16</v>
      </c>
      <c r="C42" s="15">
        <v>8303601</v>
      </c>
      <c r="D42" s="16" t="s">
        <v>25</v>
      </c>
      <c r="E42" s="15" t="s">
        <v>269</v>
      </c>
      <c r="F42" s="21" t="str">
        <f>HYPERLINK("https://psearch.kitsapgov.com/webappa/index.html?parcelID=2328375&amp;Theme=Imagery","2328375")</f>
        <v>2328375</v>
      </c>
      <c r="G42" s="16" t="s">
        <v>270</v>
      </c>
      <c r="H42" s="17">
        <v>43901</v>
      </c>
      <c r="I42" s="18">
        <v>155000</v>
      </c>
      <c r="J42" s="19">
        <v>0</v>
      </c>
      <c r="L42" s="16" t="s">
        <v>20</v>
      </c>
      <c r="M42" s="16" t="s">
        <v>271</v>
      </c>
      <c r="N42" s="16" t="s">
        <v>272</v>
      </c>
    </row>
    <row r="43" spans="1:14" ht="20.100000000000001" customHeight="1" x14ac:dyDescent="0.25">
      <c r="A43" s="15" t="s">
        <v>273</v>
      </c>
      <c r="B43" s="16" t="s">
        <v>105</v>
      </c>
      <c r="C43" s="15">
        <v>8402307</v>
      </c>
      <c r="D43" s="16" t="s">
        <v>131</v>
      </c>
      <c r="E43" s="15" t="s">
        <v>274</v>
      </c>
      <c r="F43" s="21" t="str">
        <f>HYPERLINK("https://psearch.kitsapgov.com/webappa/index.html?parcelID=2515070&amp;Theme=Imagery","2515070")</f>
        <v>2515070</v>
      </c>
      <c r="G43" s="16" t="s">
        <v>275</v>
      </c>
      <c r="H43" s="17">
        <v>43900</v>
      </c>
      <c r="I43" s="18">
        <v>564800</v>
      </c>
      <c r="J43" s="19">
        <v>1.22</v>
      </c>
      <c r="K43" s="16" t="s">
        <v>276</v>
      </c>
      <c r="L43" s="16" t="s">
        <v>38</v>
      </c>
      <c r="M43" s="16" t="s">
        <v>277</v>
      </c>
      <c r="N43" s="16" t="s">
        <v>278</v>
      </c>
    </row>
    <row r="44" spans="1:14" ht="20.100000000000001" customHeight="1" x14ac:dyDescent="0.25">
      <c r="A44" s="15" t="s">
        <v>279</v>
      </c>
      <c r="B44" s="16" t="s">
        <v>280</v>
      </c>
      <c r="C44" s="15">
        <v>9402390</v>
      </c>
      <c r="D44" s="16" t="s">
        <v>173</v>
      </c>
      <c r="E44" s="15" t="s">
        <v>281</v>
      </c>
      <c r="F44" s="21" t="str">
        <f>HYPERLINK("https://psearch.kitsapgov.com/webappa/index.html?parcelID=1077932&amp;Theme=Imagery","1077932")</f>
        <v>1077932</v>
      </c>
      <c r="G44" s="16" t="s">
        <v>282</v>
      </c>
      <c r="H44" s="17">
        <v>43896</v>
      </c>
      <c r="I44" s="18">
        <v>2900</v>
      </c>
      <c r="J44" s="19">
        <v>5.09</v>
      </c>
      <c r="K44" s="16" t="s">
        <v>176</v>
      </c>
      <c r="L44" s="16" t="s">
        <v>232</v>
      </c>
      <c r="M44" s="16" t="s">
        <v>283</v>
      </c>
      <c r="N44" s="16" t="s">
        <v>234</v>
      </c>
    </row>
    <row r="45" spans="1:14" ht="20.100000000000001" customHeight="1" x14ac:dyDescent="0.25">
      <c r="A45" s="15" t="s">
        <v>284</v>
      </c>
      <c r="B45" s="16" t="s">
        <v>285</v>
      </c>
      <c r="C45" s="15">
        <v>8100506</v>
      </c>
      <c r="D45" s="16" t="s">
        <v>286</v>
      </c>
      <c r="E45" s="15" t="s">
        <v>287</v>
      </c>
      <c r="F45" s="21" t="str">
        <f>HYPERLINK("https://psearch.kitsapgov.com/webappa/index.html?parcelID=1920008&amp;Theme=Imagery","1920008")</f>
        <v>1920008</v>
      </c>
      <c r="G45" s="16" t="s">
        <v>288</v>
      </c>
      <c r="H45" s="17">
        <v>43910</v>
      </c>
      <c r="I45" s="18">
        <v>2040000</v>
      </c>
      <c r="J45" s="19">
        <v>0.64</v>
      </c>
      <c r="K45" s="16" t="s">
        <v>168</v>
      </c>
      <c r="L45" s="16" t="s">
        <v>38</v>
      </c>
      <c r="M45" s="16" t="s">
        <v>289</v>
      </c>
      <c r="N45" s="16" t="s">
        <v>290</v>
      </c>
    </row>
    <row r="46" spans="1:14" ht="20.100000000000001" customHeight="1" x14ac:dyDescent="0.25">
      <c r="A46" s="15" t="s">
        <v>291</v>
      </c>
      <c r="B46" s="16" t="s">
        <v>292</v>
      </c>
      <c r="C46" s="15">
        <v>8100506</v>
      </c>
      <c r="D46" s="16" t="s">
        <v>286</v>
      </c>
      <c r="E46" s="15" t="s">
        <v>293</v>
      </c>
      <c r="F46" s="21" t="str">
        <f>HYPERLINK("https://psearch.kitsapgov.com/webappa/index.html?parcelID=1866458&amp;Theme=Imagery","1866458")</f>
        <v>1866458</v>
      </c>
      <c r="G46" s="16" t="s">
        <v>294</v>
      </c>
      <c r="H46" s="17">
        <v>43908</v>
      </c>
      <c r="I46" s="18">
        <v>138000</v>
      </c>
      <c r="J46" s="19">
        <v>0</v>
      </c>
      <c r="L46" s="16" t="s">
        <v>20</v>
      </c>
      <c r="M46" s="16" t="s">
        <v>295</v>
      </c>
      <c r="N46" s="16" t="s">
        <v>296</v>
      </c>
    </row>
    <row r="47" spans="1:14" ht="20.100000000000001" customHeight="1" x14ac:dyDescent="0.25">
      <c r="A47" s="15" t="s">
        <v>297</v>
      </c>
      <c r="B47" s="16" t="s">
        <v>62</v>
      </c>
      <c r="C47" s="15">
        <v>8400207</v>
      </c>
      <c r="D47" s="16" t="s">
        <v>298</v>
      </c>
      <c r="E47" s="15" t="s">
        <v>299</v>
      </c>
      <c r="F47" s="21" t="str">
        <f>HYPERLINK("https://psearch.kitsapgov.com/webappa/index.html?parcelID=2455368&amp;Theme=Imagery","2455368")</f>
        <v>2455368</v>
      </c>
      <c r="G47" s="16" t="s">
        <v>300</v>
      </c>
      <c r="H47" s="17">
        <v>43902</v>
      </c>
      <c r="I47" s="18">
        <v>435912</v>
      </c>
      <c r="J47" s="19">
        <v>0.83</v>
      </c>
      <c r="K47" s="16" t="s">
        <v>301</v>
      </c>
      <c r="L47" s="16" t="s">
        <v>38</v>
      </c>
      <c r="M47" s="16" t="s">
        <v>302</v>
      </c>
      <c r="N47" s="16" t="s">
        <v>303</v>
      </c>
    </row>
    <row r="48" spans="1:14" ht="20.100000000000001" customHeight="1" x14ac:dyDescent="0.25">
      <c r="A48" s="15" t="s">
        <v>304</v>
      </c>
      <c r="B48" s="16" t="s">
        <v>48</v>
      </c>
      <c r="C48" s="15">
        <v>8401101</v>
      </c>
      <c r="D48" s="16" t="s">
        <v>305</v>
      </c>
      <c r="E48" s="15" t="s">
        <v>306</v>
      </c>
      <c r="F48" s="21" t="str">
        <f>HYPERLINK("https://psearch.kitsapgov.com/webappa/index.html?parcelID=1911684&amp;Theme=Imagery","1911684")</f>
        <v>1911684</v>
      </c>
      <c r="G48" s="16" t="s">
        <v>307</v>
      </c>
      <c r="H48" s="17">
        <v>43913</v>
      </c>
      <c r="I48" s="18">
        <v>16200000</v>
      </c>
      <c r="J48" s="19">
        <v>4.49</v>
      </c>
      <c r="K48" s="16" t="s">
        <v>308</v>
      </c>
      <c r="L48" s="16" t="s">
        <v>38</v>
      </c>
      <c r="M48" s="16" t="s">
        <v>309</v>
      </c>
      <c r="N48" s="16" t="s">
        <v>310</v>
      </c>
    </row>
    <row r="49" spans="1:14" ht="20.100000000000001" customHeight="1" x14ac:dyDescent="0.25">
      <c r="A49" s="15" t="s">
        <v>311</v>
      </c>
      <c r="B49" s="16" t="s">
        <v>159</v>
      </c>
      <c r="C49" s="15">
        <v>8401102</v>
      </c>
      <c r="D49" s="16" t="s">
        <v>17</v>
      </c>
      <c r="E49" s="15" t="s">
        <v>312</v>
      </c>
      <c r="F49" s="21" t="str">
        <f>HYPERLINK("https://psearch.kitsapgov.com/webappa/index.html?parcelID=1246230&amp;Theme=Imagery","1246230")</f>
        <v>1246230</v>
      </c>
      <c r="G49" s="16" t="s">
        <v>313</v>
      </c>
      <c r="H49" s="17">
        <v>43922</v>
      </c>
      <c r="I49" s="18">
        <v>410000</v>
      </c>
      <c r="J49" s="19">
        <v>0.21</v>
      </c>
      <c r="K49" s="16" t="s">
        <v>308</v>
      </c>
      <c r="L49" s="16" t="s">
        <v>20</v>
      </c>
      <c r="M49" s="16" t="s">
        <v>314</v>
      </c>
      <c r="N49" s="16" t="s">
        <v>315</v>
      </c>
    </row>
    <row r="50" spans="1:14" ht="20.100000000000001" customHeight="1" x14ac:dyDescent="0.25">
      <c r="A50" s="15" t="s">
        <v>316</v>
      </c>
      <c r="B50" s="16" t="s">
        <v>317</v>
      </c>
      <c r="C50" s="15">
        <v>9100591</v>
      </c>
      <c r="D50" s="16" t="s">
        <v>318</v>
      </c>
      <c r="E50" s="15" t="s">
        <v>319</v>
      </c>
      <c r="F50" s="21" t="str">
        <f>HYPERLINK("https://psearch.kitsapgov.com/webappa/index.html?parcelID=1742329&amp;Theme=Imagery","1742329")</f>
        <v>1742329</v>
      </c>
      <c r="G50" s="16" t="s">
        <v>320</v>
      </c>
      <c r="H50" s="17">
        <v>43916</v>
      </c>
      <c r="I50" s="18">
        <v>308200</v>
      </c>
      <c r="J50" s="19">
        <v>0.5</v>
      </c>
      <c r="K50" s="16" t="s">
        <v>176</v>
      </c>
      <c r="L50" s="16" t="s">
        <v>20</v>
      </c>
      <c r="M50" s="16" t="s">
        <v>321</v>
      </c>
      <c r="N50" s="16" t="s">
        <v>322</v>
      </c>
    </row>
    <row r="51" spans="1:14" ht="20.100000000000001" customHeight="1" x14ac:dyDescent="0.25">
      <c r="A51" s="15" t="s">
        <v>323</v>
      </c>
      <c r="B51" s="16" t="s">
        <v>324</v>
      </c>
      <c r="C51" s="15">
        <v>8100506</v>
      </c>
      <c r="D51" s="16" t="s">
        <v>286</v>
      </c>
      <c r="E51" s="15" t="s">
        <v>325</v>
      </c>
      <c r="F51" s="21" t="str">
        <f>HYPERLINK("https://psearch.kitsapgov.com/webappa/index.html?parcelID=1493774&amp;Theme=Imagery","1493774")</f>
        <v>1493774</v>
      </c>
      <c r="G51" s="16" t="s">
        <v>326</v>
      </c>
      <c r="H51" s="17">
        <v>43927</v>
      </c>
      <c r="I51" s="18">
        <v>464000</v>
      </c>
      <c r="J51" s="19">
        <v>0.76</v>
      </c>
      <c r="K51" s="16" t="s">
        <v>168</v>
      </c>
      <c r="L51" s="16" t="s">
        <v>20</v>
      </c>
      <c r="M51" s="16" t="s">
        <v>327</v>
      </c>
      <c r="N51" s="16" t="s">
        <v>328</v>
      </c>
    </row>
    <row r="52" spans="1:14" ht="20.100000000000001" customHeight="1" x14ac:dyDescent="0.25">
      <c r="A52" s="15" t="s">
        <v>329</v>
      </c>
      <c r="B52" s="16" t="s">
        <v>78</v>
      </c>
      <c r="C52" s="15">
        <v>9401190</v>
      </c>
      <c r="D52" s="16" t="s">
        <v>330</v>
      </c>
      <c r="E52" s="15" t="s">
        <v>331</v>
      </c>
      <c r="F52" s="21" t="str">
        <f>HYPERLINK("https://psearch.kitsapgov.com/webappa/index.html?parcelID=2239374&amp;Theme=Imagery","2239374")</f>
        <v>2239374</v>
      </c>
      <c r="G52" s="16" t="s">
        <v>332</v>
      </c>
      <c r="H52" s="17">
        <v>43922</v>
      </c>
      <c r="I52" s="18">
        <v>595000</v>
      </c>
      <c r="J52" s="19">
        <v>3.49</v>
      </c>
      <c r="K52" s="16" t="s">
        <v>37</v>
      </c>
      <c r="L52" s="16" t="s">
        <v>20</v>
      </c>
      <c r="M52" s="16" t="s">
        <v>333</v>
      </c>
      <c r="N52" s="16" t="s">
        <v>334</v>
      </c>
    </row>
    <row r="53" spans="1:14" ht="20.100000000000001" customHeight="1" x14ac:dyDescent="0.25">
      <c r="A53" s="15" t="s">
        <v>335</v>
      </c>
      <c r="B53" s="16" t="s">
        <v>98</v>
      </c>
      <c r="C53" s="15">
        <v>8400206</v>
      </c>
      <c r="D53" s="16" t="s">
        <v>99</v>
      </c>
      <c r="E53" s="15" t="s">
        <v>336</v>
      </c>
      <c r="F53" s="21" t="str">
        <f>HYPERLINK("https://psearch.kitsapgov.com/webappa/index.html?parcelID=2071256&amp;Theme=Imagery","2071256")</f>
        <v>2071256</v>
      </c>
      <c r="G53" s="16" t="s">
        <v>337</v>
      </c>
      <c r="H53" s="17">
        <v>43929</v>
      </c>
      <c r="I53" s="18">
        <v>24000</v>
      </c>
      <c r="J53" s="19">
        <v>0</v>
      </c>
      <c r="L53" s="16" t="s">
        <v>20</v>
      </c>
      <c r="M53" s="16" t="s">
        <v>338</v>
      </c>
      <c r="N53" s="16" t="s">
        <v>339</v>
      </c>
    </row>
    <row r="54" spans="1:14" ht="20.100000000000001" customHeight="1" x14ac:dyDescent="0.25">
      <c r="A54" s="15" t="s">
        <v>340</v>
      </c>
      <c r="B54" s="16" t="s">
        <v>105</v>
      </c>
      <c r="C54" s="15">
        <v>8400204</v>
      </c>
      <c r="D54" s="16" t="s">
        <v>194</v>
      </c>
      <c r="E54" s="15" t="s">
        <v>341</v>
      </c>
      <c r="F54" s="21" t="str">
        <f>HYPERLINK("https://psearch.kitsapgov.com/webappa/index.html?parcelID=2140549&amp;Theme=Imagery","2140549")</f>
        <v>2140549</v>
      </c>
      <c r="G54" s="16" t="s">
        <v>342</v>
      </c>
      <c r="H54" s="17">
        <v>43929</v>
      </c>
      <c r="I54" s="18">
        <v>245000</v>
      </c>
      <c r="J54" s="19">
        <v>2.7</v>
      </c>
      <c r="K54" s="16" t="s">
        <v>343</v>
      </c>
      <c r="L54" s="16" t="s">
        <v>20</v>
      </c>
      <c r="M54" s="16" t="s">
        <v>344</v>
      </c>
      <c r="N54" s="16" t="s">
        <v>345</v>
      </c>
    </row>
    <row r="55" spans="1:14" ht="20.100000000000001" customHeight="1" x14ac:dyDescent="0.25">
      <c r="A55" s="15" t="s">
        <v>346</v>
      </c>
      <c r="B55" s="16" t="s">
        <v>159</v>
      </c>
      <c r="C55" s="15">
        <v>8100501</v>
      </c>
      <c r="D55" s="16" t="s">
        <v>63</v>
      </c>
      <c r="E55" s="15" t="s">
        <v>347</v>
      </c>
      <c r="F55" s="21" t="str">
        <f>HYPERLINK("https://psearch.kitsapgov.com/webappa/index.html?parcelID=1140409&amp;Theme=Imagery","1140409")</f>
        <v>1140409</v>
      </c>
      <c r="G55" s="16" t="s">
        <v>348</v>
      </c>
      <c r="H55" s="17">
        <v>43934</v>
      </c>
      <c r="I55" s="18">
        <v>650000</v>
      </c>
      <c r="J55" s="19">
        <v>0.14000000000000001</v>
      </c>
      <c r="K55" s="16" t="s">
        <v>349</v>
      </c>
      <c r="L55" s="16" t="s">
        <v>116</v>
      </c>
      <c r="M55" s="16" t="s">
        <v>350</v>
      </c>
      <c r="N55" s="16" t="s">
        <v>351</v>
      </c>
    </row>
    <row r="56" spans="1:14" ht="20.100000000000001" customHeight="1" x14ac:dyDescent="0.25">
      <c r="A56" s="15" t="s">
        <v>352</v>
      </c>
      <c r="B56" s="16" t="s">
        <v>159</v>
      </c>
      <c r="C56" s="15">
        <v>8400203</v>
      </c>
      <c r="D56" s="16" t="s">
        <v>353</v>
      </c>
      <c r="E56" s="15" t="s">
        <v>354</v>
      </c>
      <c r="F56" s="21" t="str">
        <f>HYPERLINK("https://psearch.kitsapgov.com/webappa/index.html?parcelID=2265627&amp;Theme=Imagery","2265627")</f>
        <v>2265627</v>
      </c>
      <c r="G56" s="16" t="s">
        <v>355</v>
      </c>
      <c r="H56" s="17">
        <v>43880</v>
      </c>
      <c r="I56" s="18">
        <v>1300000</v>
      </c>
      <c r="J56" s="19">
        <v>0.64</v>
      </c>
      <c r="K56" s="16" t="s">
        <v>356</v>
      </c>
      <c r="L56" s="16" t="s">
        <v>38</v>
      </c>
      <c r="M56" s="16" t="s">
        <v>357</v>
      </c>
      <c r="N56" s="16" t="s">
        <v>358</v>
      </c>
    </row>
    <row r="57" spans="1:14" ht="20.100000000000001" customHeight="1" x14ac:dyDescent="0.25">
      <c r="A57" s="15" t="s">
        <v>359</v>
      </c>
      <c r="B57" s="16" t="s">
        <v>78</v>
      </c>
      <c r="C57" s="15">
        <v>9100542</v>
      </c>
      <c r="D57" s="16" t="s">
        <v>360</v>
      </c>
      <c r="E57" s="15" t="s">
        <v>361</v>
      </c>
      <c r="F57" s="21" t="str">
        <f>HYPERLINK("https://psearch.kitsapgov.com/webappa/index.html?parcelID=1131697&amp;Theme=Imagery","1131697")</f>
        <v>1131697</v>
      </c>
      <c r="G57" s="16" t="s">
        <v>362</v>
      </c>
      <c r="H57" s="17">
        <v>43931</v>
      </c>
      <c r="I57" s="18">
        <v>350000</v>
      </c>
      <c r="J57" s="19">
        <v>0.45</v>
      </c>
      <c r="K57" s="16" t="s">
        <v>168</v>
      </c>
      <c r="L57" s="16" t="s">
        <v>20</v>
      </c>
      <c r="M57" s="16" t="s">
        <v>363</v>
      </c>
      <c r="N57" s="16" t="s">
        <v>364</v>
      </c>
    </row>
    <row r="58" spans="1:14" ht="20.100000000000001" customHeight="1" x14ac:dyDescent="0.25">
      <c r="A58" s="15" t="s">
        <v>365</v>
      </c>
      <c r="B58" s="16" t="s">
        <v>62</v>
      </c>
      <c r="C58" s="15">
        <v>8402307</v>
      </c>
      <c r="D58" s="16" t="s">
        <v>131</v>
      </c>
      <c r="E58" s="15" t="s">
        <v>366</v>
      </c>
      <c r="F58" s="21" t="str">
        <f>HYPERLINK("https://psearch.kitsapgov.com/webappa/index.html?parcelID=1038231&amp;Theme=Imagery","1038231")</f>
        <v>1038231</v>
      </c>
      <c r="G58" s="16" t="s">
        <v>367</v>
      </c>
      <c r="H58" s="17">
        <v>43900</v>
      </c>
      <c r="I58" s="18">
        <v>595000</v>
      </c>
      <c r="J58" s="19">
        <v>0.88</v>
      </c>
      <c r="K58" s="16" t="s">
        <v>368</v>
      </c>
      <c r="L58" s="16" t="s">
        <v>369</v>
      </c>
      <c r="M58" s="16" t="s">
        <v>370</v>
      </c>
      <c r="N58" s="16" t="s">
        <v>371</v>
      </c>
    </row>
    <row r="59" spans="1:14" ht="20.100000000000001" customHeight="1" x14ac:dyDescent="0.25">
      <c r="A59" s="15" t="s">
        <v>372</v>
      </c>
      <c r="B59" s="16" t="s">
        <v>62</v>
      </c>
      <c r="C59" s="15">
        <v>8402307</v>
      </c>
      <c r="D59" s="16" t="s">
        <v>131</v>
      </c>
      <c r="E59" s="15" t="s">
        <v>366</v>
      </c>
      <c r="F59" s="21" t="str">
        <f>HYPERLINK("https://psearch.kitsapgov.com/webappa/index.html?parcelID=1038231&amp;Theme=Imagery","1038231")</f>
        <v>1038231</v>
      </c>
      <c r="G59" s="16" t="s">
        <v>367</v>
      </c>
      <c r="H59" s="17">
        <v>43938</v>
      </c>
      <c r="I59" s="18">
        <v>650000</v>
      </c>
      <c r="J59" s="19">
        <v>0.88</v>
      </c>
      <c r="K59" s="16" t="s">
        <v>368</v>
      </c>
      <c r="L59" s="16" t="s">
        <v>20</v>
      </c>
      <c r="M59" s="16" t="s">
        <v>371</v>
      </c>
      <c r="N59" s="16" t="s">
        <v>373</v>
      </c>
    </row>
    <row r="60" spans="1:14" ht="20.100000000000001" customHeight="1" x14ac:dyDescent="0.25">
      <c r="A60" s="15" t="s">
        <v>374</v>
      </c>
      <c r="B60" s="16" t="s">
        <v>185</v>
      </c>
      <c r="C60" s="15">
        <v>9100541</v>
      </c>
      <c r="D60" s="16" t="s">
        <v>186</v>
      </c>
      <c r="E60" s="15" t="s">
        <v>375</v>
      </c>
      <c r="F60" s="21" t="str">
        <f>HYPERLINK("https://psearch.kitsapgov.com/webappa/index.html?parcelID=1463876&amp;Theme=Imagery","1463876")</f>
        <v>1463876</v>
      </c>
      <c r="G60" s="16" t="s">
        <v>376</v>
      </c>
      <c r="H60" s="17">
        <v>43936</v>
      </c>
      <c r="I60" s="18">
        <v>379000</v>
      </c>
      <c r="J60" s="19">
        <v>0.14000000000000001</v>
      </c>
      <c r="K60" s="16" t="s">
        <v>377</v>
      </c>
      <c r="L60" s="16" t="s">
        <v>20</v>
      </c>
      <c r="M60" s="16" t="s">
        <v>378</v>
      </c>
      <c r="N60" s="16" t="s">
        <v>379</v>
      </c>
    </row>
    <row r="61" spans="1:14" ht="20.100000000000001" customHeight="1" x14ac:dyDescent="0.25">
      <c r="A61" s="15" t="s">
        <v>380</v>
      </c>
      <c r="B61" s="16" t="s">
        <v>381</v>
      </c>
      <c r="C61" s="15">
        <v>8100502</v>
      </c>
      <c r="D61" s="16" t="s">
        <v>142</v>
      </c>
      <c r="E61" s="15" t="s">
        <v>382</v>
      </c>
      <c r="F61" s="21" t="str">
        <f>HYPERLINK("https://psearch.kitsapgov.com/webappa/index.html?parcelID=1443514&amp;Theme=Imagery","1443514")</f>
        <v>1443514</v>
      </c>
      <c r="G61" s="16" t="s">
        <v>383</v>
      </c>
      <c r="H61" s="17">
        <v>43934</v>
      </c>
      <c r="I61" s="18">
        <v>300000</v>
      </c>
      <c r="J61" s="19">
        <v>0.39</v>
      </c>
      <c r="K61" s="16" t="s">
        <v>168</v>
      </c>
      <c r="L61" s="16" t="s">
        <v>20</v>
      </c>
      <c r="M61" s="16" t="s">
        <v>384</v>
      </c>
      <c r="N61" s="16" t="s">
        <v>385</v>
      </c>
    </row>
    <row r="62" spans="1:14" ht="20.100000000000001" customHeight="1" x14ac:dyDescent="0.25">
      <c r="A62" s="15" t="s">
        <v>386</v>
      </c>
      <c r="B62" s="16" t="s">
        <v>70</v>
      </c>
      <c r="C62" s="15">
        <v>8100502</v>
      </c>
      <c r="D62" s="16" t="s">
        <v>142</v>
      </c>
      <c r="E62" s="15" t="s">
        <v>387</v>
      </c>
      <c r="F62" s="21" t="str">
        <f>HYPERLINK("https://psearch.kitsapgov.com/webappa/index.html?parcelID=2632719&amp;Theme=Imagery","2632719")</f>
        <v>2632719</v>
      </c>
      <c r="G62" s="16" t="s">
        <v>388</v>
      </c>
      <c r="H62" s="17">
        <v>43950</v>
      </c>
      <c r="I62" s="18">
        <v>1175000</v>
      </c>
      <c r="J62" s="19">
        <v>1.31</v>
      </c>
      <c r="K62" s="16" t="s">
        <v>145</v>
      </c>
      <c r="L62" s="16" t="s">
        <v>38</v>
      </c>
      <c r="M62" s="16" t="s">
        <v>389</v>
      </c>
      <c r="N62" s="16" t="s">
        <v>390</v>
      </c>
    </row>
    <row r="63" spans="1:14" ht="20.100000000000001" customHeight="1" x14ac:dyDescent="0.25">
      <c r="A63" s="15" t="s">
        <v>391</v>
      </c>
      <c r="B63" s="16" t="s">
        <v>78</v>
      </c>
      <c r="C63" s="15">
        <v>8100502</v>
      </c>
      <c r="D63" s="16" t="s">
        <v>142</v>
      </c>
      <c r="E63" s="15" t="s">
        <v>392</v>
      </c>
      <c r="F63" s="21" t="str">
        <f>HYPERLINK("https://psearch.kitsapgov.com/webappa/index.html?parcelID=1156769&amp;Theme=Imagery","1156769")</f>
        <v>1156769</v>
      </c>
      <c r="G63" s="16" t="s">
        <v>393</v>
      </c>
      <c r="H63" s="17">
        <v>43949</v>
      </c>
      <c r="I63" s="18">
        <v>261500</v>
      </c>
      <c r="J63" s="19">
        <v>0.35</v>
      </c>
      <c r="K63" s="16" t="s">
        <v>145</v>
      </c>
      <c r="L63" s="16" t="s">
        <v>53</v>
      </c>
      <c r="M63" s="16" t="s">
        <v>394</v>
      </c>
      <c r="N63" s="16" t="s">
        <v>395</v>
      </c>
    </row>
    <row r="64" spans="1:14" ht="20.100000000000001" customHeight="1" x14ac:dyDescent="0.25">
      <c r="A64" s="15" t="s">
        <v>396</v>
      </c>
      <c r="B64" s="16" t="s">
        <v>70</v>
      </c>
      <c r="C64" s="15">
        <v>8400302</v>
      </c>
      <c r="D64" s="16" t="s">
        <v>397</v>
      </c>
      <c r="E64" s="15" t="s">
        <v>398</v>
      </c>
      <c r="F64" s="21" t="str">
        <f>HYPERLINK("https://psearch.kitsapgov.com/webappa/index.html?parcelID=2365369&amp;Theme=Imagery","2365369")</f>
        <v>2365369</v>
      </c>
      <c r="G64" s="16" t="s">
        <v>399</v>
      </c>
      <c r="H64" s="17">
        <v>43955</v>
      </c>
      <c r="I64" s="18">
        <v>480200</v>
      </c>
      <c r="J64" s="19">
        <v>0.6</v>
      </c>
      <c r="K64" s="16" t="s">
        <v>343</v>
      </c>
      <c r="L64" s="16" t="s">
        <v>20</v>
      </c>
      <c r="M64" s="16" t="s">
        <v>400</v>
      </c>
      <c r="N64" s="16" t="s">
        <v>401</v>
      </c>
    </row>
    <row r="65" spans="1:14" ht="20.100000000000001" customHeight="1" x14ac:dyDescent="0.25">
      <c r="A65" s="15" t="s">
        <v>402</v>
      </c>
      <c r="B65" s="16" t="s">
        <v>403</v>
      </c>
      <c r="C65" s="15">
        <v>8303601</v>
      </c>
      <c r="D65" s="16" t="s">
        <v>25</v>
      </c>
      <c r="E65" s="15" t="s">
        <v>404</v>
      </c>
      <c r="F65" s="21" t="str">
        <f>HYPERLINK("https://psearch.kitsapgov.com/webappa/index.html?parcelID=2433811&amp;Theme=Imagery","2433811")</f>
        <v>2433811</v>
      </c>
      <c r="G65" s="16" t="s">
        <v>405</v>
      </c>
      <c r="H65" s="17">
        <v>43963</v>
      </c>
      <c r="I65" s="18">
        <v>148000</v>
      </c>
      <c r="J65" s="19">
        <v>0</v>
      </c>
      <c r="L65" s="16" t="s">
        <v>406</v>
      </c>
      <c r="M65" s="16" t="s">
        <v>407</v>
      </c>
      <c r="N65" s="16" t="s">
        <v>408</v>
      </c>
    </row>
    <row r="66" spans="1:14" ht="20.100000000000001" customHeight="1" x14ac:dyDescent="0.25">
      <c r="A66" s="15" t="s">
        <v>409</v>
      </c>
      <c r="B66" s="16" t="s">
        <v>42</v>
      </c>
      <c r="C66" s="15">
        <v>8401101</v>
      </c>
      <c r="D66" s="16" t="s">
        <v>305</v>
      </c>
      <c r="E66" s="15" t="s">
        <v>410</v>
      </c>
      <c r="F66" s="21" t="str">
        <f>HYPERLINK("https://psearch.kitsapgov.com/webappa/index.html?parcelID=1238591&amp;Theme=Imagery","1238591")</f>
        <v>1238591</v>
      </c>
      <c r="G66" s="16" t="s">
        <v>411</v>
      </c>
      <c r="H66" s="17">
        <v>43964</v>
      </c>
      <c r="I66" s="18">
        <v>1413000</v>
      </c>
      <c r="J66" s="19">
        <v>0.97</v>
      </c>
      <c r="K66" s="16" t="s">
        <v>308</v>
      </c>
      <c r="L66" s="16" t="s">
        <v>38</v>
      </c>
      <c r="M66" s="16" t="s">
        <v>412</v>
      </c>
      <c r="N66" s="16" t="s">
        <v>413</v>
      </c>
    </row>
    <row r="67" spans="1:14" ht="20.100000000000001" customHeight="1" x14ac:dyDescent="0.25">
      <c r="A67" s="15" t="s">
        <v>414</v>
      </c>
      <c r="B67" s="16" t="s">
        <v>16</v>
      </c>
      <c r="C67" s="15">
        <v>8303601</v>
      </c>
      <c r="D67" s="16" t="s">
        <v>25</v>
      </c>
      <c r="E67" s="15" t="s">
        <v>415</v>
      </c>
      <c r="F67" s="21" t="str">
        <f>HYPERLINK("https://psearch.kitsapgov.com/webappa/index.html?parcelID=2639987&amp;Theme=Imagery","2639987")</f>
        <v>2639987</v>
      </c>
      <c r="G67" s="16" t="s">
        <v>416</v>
      </c>
      <c r="H67" s="17">
        <v>43966</v>
      </c>
      <c r="I67" s="18">
        <v>290000</v>
      </c>
      <c r="J67" s="19">
        <v>0</v>
      </c>
      <c r="L67" s="16" t="s">
        <v>20</v>
      </c>
      <c r="M67" s="16" t="s">
        <v>59</v>
      </c>
      <c r="N67" s="16" t="s">
        <v>417</v>
      </c>
    </row>
    <row r="68" spans="1:14" ht="20.100000000000001" customHeight="1" x14ac:dyDescent="0.25">
      <c r="A68" s="15" t="s">
        <v>418</v>
      </c>
      <c r="B68" s="16" t="s">
        <v>159</v>
      </c>
      <c r="C68" s="15">
        <v>8303601</v>
      </c>
      <c r="D68" s="16" t="s">
        <v>25</v>
      </c>
      <c r="E68" s="15" t="s">
        <v>419</v>
      </c>
      <c r="F68" s="21" t="str">
        <f>HYPERLINK("https://psearch.kitsapgov.com/webappa/index.html?parcelID=1306034&amp;Theme=Imagery","1306034")</f>
        <v>1306034</v>
      </c>
      <c r="G68" s="16" t="s">
        <v>420</v>
      </c>
      <c r="H68" s="17">
        <v>43966</v>
      </c>
      <c r="I68" s="18">
        <v>1550000</v>
      </c>
      <c r="J68" s="19">
        <v>0.25</v>
      </c>
      <c r="K68" s="16" t="s">
        <v>421</v>
      </c>
      <c r="L68" s="16" t="s">
        <v>38</v>
      </c>
      <c r="M68" s="16" t="s">
        <v>422</v>
      </c>
      <c r="N68" s="16" t="s">
        <v>423</v>
      </c>
    </row>
    <row r="69" spans="1:14" ht="20.100000000000001" customHeight="1" x14ac:dyDescent="0.25">
      <c r="A69" s="15" t="s">
        <v>424</v>
      </c>
      <c r="B69" s="16" t="s">
        <v>24</v>
      </c>
      <c r="C69" s="15">
        <v>8401101</v>
      </c>
      <c r="D69" s="16" t="s">
        <v>305</v>
      </c>
      <c r="E69" s="15" t="s">
        <v>425</v>
      </c>
      <c r="F69" s="21" t="str">
        <f>HYPERLINK("https://psearch.kitsapgov.com/webappa/index.html?parcelID=2524916&amp;Theme=Imagery","2524916")</f>
        <v>2524916</v>
      </c>
      <c r="G69" s="16" t="s">
        <v>426</v>
      </c>
      <c r="H69" s="17">
        <v>43971</v>
      </c>
      <c r="I69" s="18">
        <v>3140000</v>
      </c>
      <c r="J69" s="19">
        <v>0.93</v>
      </c>
      <c r="K69" s="16" t="s">
        <v>308</v>
      </c>
      <c r="L69" s="16" t="s">
        <v>38</v>
      </c>
      <c r="M69" s="16" t="s">
        <v>427</v>
      </c>
      <c r="N69" s="16" t="s">
        <v>428</v>
      </c>
    </row>
    <row r="70" spans="1:14" ht="20.100000000000001" customHeight="1" x14ac:dyDescent="0.25">
      <c r="A70" s="15" t="s">
        <v>429</v>
      </c>
      <c r="B70" s="16" t="s">
        <v>98</v>
      </c>
      <c r="C70" s="15">
        <v>8400206</v>
      </c>
      <c r="D70" s="16" t="s">
        <v>99</v>
      </c>
      <c r="E70" s="15" t="s">
        <v>430</v>
      </c>
      <c r="F70" s="21" t="str">
        <f>HYPERLINK("https://psearch.kitsapgov.com/webappa/index.html?parcelID=2071827&amp;Theme=Imagery","2071827")</f>
        <v>2071827</v>
      </c>
      <c r="G70" s="16" t="s">
        <v>248</v>
      </c>
      <c r="H70" s="17">
        <v>43972</v>
      </c>
      <c r="I70" s="18">
        <v>11520</v>
      </c>
      <c r="J70" s="19">
        <v>0</v>
      </c>
      <c r="L70" s="16" t="s">
        <v>20</v>
      </c>
      <c r="M70" s="16" t="s">
        <v>431</v>
      </c>
      <c r="N70" s="16" t="s">
        <v>432</v>
      </c>
    </row>
    <row r="71" spans="1:14" ht="20.100000000000001" customHeight="1" x14ac:dyDescent="0.25">
      <c r="A71" s="15" t="s">
        <v>433</v>
      </c>
      <c r="B71" s="16" t="s">
        <v>202</v>
      </c>
      <c r="C71" s="15">
        <v>9402401</v>
      </c>
      <c r="D71" s="16" t="s">
        <v>434</v>
      </c>
      <c r="E71" s="15" t="s">
        <v>435</v>
      </c>
      <c r="F71" s="21" t="str">
        <f>HYPERLINK("https://psearch.kitsapgov.com/webappa/index.html?parcelID=1949742&amp;Theme=Imagery","1949742")</f>
        <v>1949742</v>
      </c>
      <c r="G71" s="16" t="s">
        <v>436</v>
      </c>
      <c r="H71" s="17">
        <v>43973</v>
      </c>
      <c r="I71" s="18">
        <v>491000</v>
      </c>
      <c r="J71" s="19">
        <v>3.78</v>
      </c>
      <c r="K71" s="16" t="s">
        <v>205</v>
      </c>
      <c r="L71" s="16" t="s">
        <v>190</v>
      </c>
      <c r="M71" s="16" t="s">
        <v>437</v>
      </c>
      <c r="N71" s="16" t="s">
        <v>438</v>
      </c>
    </row>
    <row r="72" spans="1:14" ht="20.100000000000001" customHeight="1" x14ac:dyDescent="0.25">
      <c r="A72" s="15" t="s">
        <v>439</v>
      </c>
      <c r="B72" s="16" t="s">
        <v>24</v>
      </c>
      <c r="C72" s="15">
        <v>8400202</v>
      </c>
      <c r="D72" s="16" t="s">
        <v>440</v>
      </c>
      <c r="E72" s="15" t="s">
        <v>441</v>
      </c>
      <c r="F72" s="21" t="str">
        <f>HYPERLINK("https://psearch.kitsapgov.com/webappa/index.html?parcelID=2600518&amp;Theme=Imagery","2600518")</f>
        <v>2600518</v>
      </c>
      <c r="G72" s="16" t="s">
        <v>442</v>
      </c>
      <c r="H72" s="17">
        <v>43977</v>
      </c>
      <c r="I72" s="18">
        <v>670000</v>
      </c>
      <c r="J72" s="19">
        <v>0.85</v>
      </c>
      <c r="K72" s="16" t="s">
        <v>443</v>
      </c>
      <c r="L72" s="16" t="s">
        <v>38</v>
      </c>
      <c r="M72" s="16" t="s">
        <v>444</v>
      </c>
      <c r="N72" s="16" t="s">
        <v>445</v>
      </c>
    </row>
    <row r="73" spans="1:14" ht="20.100000000000001" customHeight="1" x14ac:dyDescent="0.25">
      <c r="A73" s="15" t="s">
        <v>446</v>
      </c>
      <c r="B73" s="16" t="s">
        <v>222</v>
      </c>
      <c r="C73" s="15">
        <v>8400302</v>
      </c>
      <c r="D73" s="16" t="s">
        <v>397</v>
      </c>
      <c r="E73" s="15" t="s">
        <v>447</v>
      </c>
      <c r="F73" s="21" t="str">
        <f>HYPERLINK("https://psearch.kitsapgov.com/webappa/index.html?parcelID=2274322&amp;Theme=Imagery","2274322")</f>
        <v>2274322</v>
      </c>
      <c r="G73" s="16" t="s">
        <v>448</v>
      </c>
      <c r="H73" s="17">
        <v>43977</v>
      </c>
      <c r="I73" s="18">
        <v>5745000</v>
      </c>
      <c r="J73" s="19">
        <v>5.15</v>
      </c>
      <c r="K73" s="16" t="s">
        <v>343</v>
      </c>
      <c r="L73" s="16" t="s">
        <v>20</v>
      </c>
      <c r="M73" s="16" t="s">
        <v>449</v>
      </c>
      <c r="N73" s="16" t="s">
        <v>450</v>
      </c>
    </row>
    <row r="74" spans="1:14" ht="20.100000000000001" customHeight="1" x14ac:dyDescent="0.25">
      <c r="A74" s="15" t="s">
        <v>451</v>
      </c>
      <c r="B74" s="16" t="s">
        <v>70</v>
      </c>
      <c r="C74" s="15">
        <v>8402305</v>
      </c>
      <c r="D74" s="16" t="s">
        <v>452</v>
      </c>
      <c r="E74" s="15" t="s">
        <v>453</v>
      </c>
      <c r="F74" s="21" t="str">
        <f>HYPERLINK("https://psearch.kitsapgov.com/webappa/index.html?parcelID=2458644&amp;Theme=Imagery","2458644")</f>
        <v>2458644</v>
      </c>
      <c r="G74" s="16" t="s">
        <v>454</v>
      </c>
      <c r="H74" s="17">
        <v>43984</v>
      </c>
      <c r="I74" s="18">
        <v>6325000</v>
      </c>
      <c r="J74" s="19">
        <v>3.61</v>
      </c>
      <c r="K74" s="16" t="s">
        <v>455</v>
      </c>
      <c r="L74" s="16" t="s">
        <v>38</v>
      </c>
      <c r="M74" s="16" t="s">
        <v>456</v>
      </c>
      <c r="N74" s="16" t="s">
        <v>457</v>
      </c>
    </row>
    <row r="75" spans="1:14" ht="20.100000000000001" customHeight="1" x14ac:dyDescent="0.25">
      <c r="A75" s="15" t="s">
        <v>458</v>
      </c>
      <c r="B75" s="16" t="s">
        <v>459</v>
      </c>
      <c r="C75" s="15">
        <v>8100506</v>
      </c>
      <c r="D75" s="16" t="s">
        <v>286</v>
      </c>
      <c r="E75" s="15" t="s">
        <v>460</v>
      </c>
      <c r="F75" s="21" t="str">
        <f>HYPERLINK("https://psearch.kitsapgov.com/webappa/index.html?parcelID=1131705&amp;Theme=Imagery","1131705")</f>
        <v>1131705</v>
      </c>
      <c r="G75" s="16" t="s">
        <v>461</v>
      </c>
      <c r="H75" s="17">
        <v>43978</v>
      </c>
      <c r="I75" s="18">
        <v>90000</v>
      </c>
      <c r="J75" s="19">
        <v>0.17</v>
      </c>
      <c r="K75" s="16" t="s">
        <v>168</v>
      </c>
      <c r="L75" s="16" t="s">
        <v>38</v>
      </c>
      <c r="M75" s="16" t="s">
        <v>462</v>
      </c>
      <c r="N75" s="16" t="s">
        <v>463</v>
      </c>
    </row>
    <row r="76" spans="1:14" ht="20.100000000000001" customHeight="1" x14ac:dyDescent="0.25">
      <c r="A76" s="15" t="s">
        <v>464</v>
      </c>
      <c r="B76" s="16" t="s">
        <v>16</v>
      </c>
      <c r="C76" s="15">
        <v>8303601</v>
      </c>
      <c r="D76" s="16" t="s">
        <v>25</v>
      </c>
      <c r="E76" s="15" t="s">
        <v>465</v>
      </c>
      <c r="F76" s="21" t="str">
        <f>HYPERLINK("https://psearch.kitsapgov.com/webappa/index.html?parcelID=2639938&amp;Theme=Imagery","2639938")</f>
        <v>2639938</v>
      </c>
      <c r="G76" s="16" t="s">
        <v>466</v>
      </c>
      <c r="H76" s="17">
        <v>43990</v>
      </c>
      <c r="I76" s="18">
        <v>294500</v>
      </c>
      <c r="J76" s="19">
        <v>0</v>
      </c>
      <c r="L76" s="16" t="s">
        <v>20</v>
      </c>
      <c r="M76" s="16" t="s">
        <v>59</v>
      </c>
      <c r="N76" s="16" t="s">
        <v>467</v>
      </c>
    </row>
    <row r="77" spans="1:14" ht="20.100000000000001" customHeight="1" x14ac:dyDescent="0.25">
      <c r="A77" s="15" t="s">
        <v>468</v>
      </c>
      <c r="B77" s="16" t="s">
        <v>78</v>
      </c>
      <c r="C77" s="15">
        <v>9400203</v>
      </c>
      <c r="D77" s="16" t="s">
        <v>49</v>
      </c>
      <c r="E77" s="15" t="s">
        <v>469</v>
      </c>
      <c r="F77" s="21" t="str">
        <f>HYPERLINK("https://psearch.kitsapgov.com/webappa/index.html?parcelID=1611110&amp;Theme=Imagery","1611110")</f>
        <v>1611110</v>
      </c>
      <c r="G77" s="16" t="s">
        <v>470</v>
      </c>
      <c r="H77" s="17">
        <v>43991</v>
      </c>
      <c r="I77" s="18">
        <v>550000</v>
      </c>
      <c r="J77" s="19">
        <v>0.41</v>
      </c>
      <c r="K77" s="16" t="s">
        <v>471</v>
      </c>
      <c r="L77" s="16" t="s">
        <v>20</v>
      </c>
      <c r="M77" s="16" t="s">
        <v>472</v>
      </c>
      <c r="N77" s="16" t="s">
        <v>473</v>
      </c>
    </row>
    <row r="78" spans="1:14" ht="20.100000000000001" customHeight="1" x14ac:dyDescent="0.25">
      <c r="A78" s="15" t="s">
        <v>474</v>
      </c>
      <c r="B78" s="16" t="s">
        <v>16</v>
      </c>
      <c r="C78" s="15">
        <v>8401102</v>
      </c>
      <c r="D78" s="16" t="s">
        <v>17</v>
      </c>
      <c r="E78" s="15" t="s">
        <v>475</v>
      </c>
      <c r="F78" s="21" t="str">
        <f>HYPERLINK("https://psearch.kitsapgov.com/webappa/index.html?parcelID=2636744&amp;Theme=Imagery","2636744")</f>
        <v>2636744</v>
      </c>
      <c r="G78" s="16" t="s">
        <v>476</v>
      </c>
      <c r="H78" s="17">
        <v>43994</v>
      </c>
      <c r="I78" s="18">
        <v>199900</v>
      </c>
      <c r="J78" s="19">
        <v>0</v>
      </c>
      <c r="L78" s="16" t="s">
        <v>38</v>
      </c>
      <c r="M78" s="16" t="s">
        <v>477</v>
      </c>
      <c r="N78" s="16" t="s">
        <v>478</v>
      </c>
    </row>
    <row r="79" spans="1:14" ht="20.100000000000001" customHeight="1" x14ac:dyDescent="0.25">
      <c r="A79" s="15" t="s">
        <v>479</v>
      </c>
      <c r="B79" s="16" t="s">
        <v>98</v>
      </c>
      <c r="C79" s="15">
        <v>8400206</v>
      </c>
      <c r="D79" s="16" t="s">
        <v>99</v>
      </c>
      <c r="E79" s="15" t="s">
        <v>480</v>
      </c>
      <c r="F79" s="21" t="str">
        <f>HYPERLINK("https://psearch.kitsapgov.com/webappa/index.html?parcelID=2071108&amp;Theme=Imagery","2071108")</f>
        <v>2071108</v>
      </c>
      <c r="G79" s="16" t="s">
        <v>481</v>
      </c>
      <c r="H79" s="17">
        <v>44000</v>
      </c>
      <c r="I79" s="18">
        <v>48000</v>
      </c>
      <c r="J79" s="19">
        <v>0</v>
      </c>
      <c r="L79" s="16" t="s">
        <v>20</v>
      </c>
      <c r="M79" s="16" t="s">
        <v>482</v>
      </c>
      <c r="N79" s="16" t="s">
        <v>483</v>
      </c>
    </row>
    <row r="80" spans="1:14" ht="20.100000000000001" customHeight="1" x14ac:dyDescent="0.25">
      <c r="A80" s="15" t="s">
        <v>484</v>
      </c>
      <c r="B80" s="16" t="s">
        <v>98</v>
      </c>
      <c r="C80" s="15">
        <v>8400206</v>
      </c>
      <c r="D80" s="16" t="s">
        <v>99</v>
      </c>
      <c r="E80" s="15" t="s">
        <v>485</v>
      </c>
      <c r="F80" s="21" t="str">
        <f>HYPERLINK("https://psearch.kitsapgov.com/webappa/index.html?parcelID=2071462&amp;Theme=Imagery","2071462")</f>
        <v>2071462</v>
      </c>
      <c r="G80" s="16" t="s">
        <v>486</v>
      </c>
      <c r="H80" s="17">
        <v>44000</v>
      </c>
      <c r="I80" s="18">
        <v>40500</v>
      </c>
      <c r="J80" s="19">
        <v>0</v>
      </c>
      <c r="L80" s="16" t="s">
        <v>20</v>
      </c>
      <c r="M80" s="16" t="s">
        <v>487</v>
      </c>
      <c r="N80" s="16" t="s">
        <v>488</v>
      </c>
    </row>
    <row r="81" spans="1:14" ht="20.100000000000001" customHeight="1" x14ac:dyDescent="0.25">
      <c r="A81" s="15" t="s">
        <v>489</v>
      </c>
      <c r="B81" s="16" t="s">
        <v>70</v>
      </c>
      <c r="C81" s="15">
        <v>8401104</v>
      </c>
      <c r="D81" s="16" t="s">
        <v>241</v>
      </c>
      <c r="E81" s="15" t="s">
        <v>490</v>
      </c>
      <c r="F81" s="21" t="str">
        <f>HYPERLINK("https://psearch.kitsapgov.com/webappa/index.html?parcelID=1243245&amp;Theme=Imagery","1243245")</f>
        <v>1243245</v>
      </c>
      <c r="G81" s="16" t="s">
        <v>491</v>
      </c>
      <c r="H81" s="17">
        <v>44001</v>
      </c>
      <c r="I81" s="18">
        <v>2340000</v>
      </c>
      <c r="J81" s="19">
        <v>39.979999999999997</v>
      </c>
      <c r="K81" s="16" t="s">
        <v>492</v>
      </c>
      <c r="L81" s="16" t="s">
        <v>38</v>
      </c>
      <c r="M81" s="16" t="s">
        <v>493</v>
      </c>
      <c r="N81" s="16" t="s">
        <v>494</v>
      </c>
    </row>
    <row r="82" spans="1:14" ht="20.100000000000001" customHeight="1" x14ac:dyDescent="0.25">
      <c r="A82" s="15" t="s">
        <v>495</v>
      </c>
      <c r="B82" s="16" t="s">
        <v>209</v>
      </c>
      <c r="C82" s="15">
        <v>8400201</v>
      </c>
      <c r="D82" s="16" t="s">
        <v>496</v>
      </c>
      <c r="E82" s="15" t="s">
        <v>497</v>
      </c>
      <c r="F82" s="21" t="str">
        <f>HYPERLINK("https://psearch.kitsapgov.com/webappa/index.html?parcelID=1550029&amp;Theme=Imagery","1550029")</f>
        <v>1550029</v>
      </c>
      <c r="G82" s="16" t="s">
        <v>498</v>
      </c>
      <c r="H82" s="17">
        <v>44008</v>
      </c>
      <c r="I82" s="18">
        <v>1900000</v>
      </c>
      <c r="J82" s="19">
        <v>0.41</v>
      </c>
      <c r="K82" s="16" t="s">
        <v>499</v>
      </c>
      <c r="L82" s="16" t="s">
        <v>20</v>
      </c>
      <c r="M82" s="16" t="s">
        <v>500</v>
      </c>
      <c r="N82" s="16" t="s">
        <v>501</v>
      </c>
    </row>
    <row r="83" spans="1:14" ht="20.100000000000001" customHeight="1" x14ac:dyDescent="0.25">
      <c r="A83" s="15" t="s">
        <v>502</v>
      </c>
      <c r="B83" s="16" t="s">
        <v>98</v>
      </c>
      <c r="C83" s="15">
        <v>8400206</v>
      </c>
      <c r="D83" s="16" t="s">
        <v>99</v>
      </c>
      <c r="E83" s="15" t="s">
        <v>503</v>
      </c>
      <c r="F83" s="21" t="str">
        <f>HYPERLINK("https://psearch.kitsapgov.com/webappa/index.html?parcelID=2071397&amp;Theme=Imagery","2071397")</f>
        <v>2071397</v>
      </c>
      <c r="G83" s="16" t="s">
        <v>337</v>
      </c>
      <c r="H83" s="17">
        <v>44006</v>
      </c>
      <c r="I83" s="18">
        <v>25000</v>
      </c>
      <c r="J83" s="19">
        <v>0</v>
      </c>
      <c r="L83" s="16" t="s">
        <v>20</v>
      </c>
      <c r="M83" s="16" t="s">
        <v>504</v>
      </c>
      <c r="N83" s="16" t="s">
        <v>505</v>
      </c>
    </row>
    <row r="84" spans="1:14" ht="20.100000000000001" customHeight="1" x14ac:dyDescent="0.25">
      <c r="A84" s="15" t="s">
        <v>506</v>
      </c>
      <c r="B84" s="16" t="s">
        <v>185</v>
      </c>
      <c r="C84" s="15">
        <v>8401104</v>
      </c>
      <c r="D84" s="16" t="s">
        <v>241</v>
      </c>
      <c r="E84" s="15" t="s">
        <v>507</v>
      </c>
      <c r="F84" s="21" t="str">
        <f>HYPERLINK("https://psearch.kitsapgov.com/webappa/index.html?parcelID=1924083&amp;Theme=Imagery","1924083")</f>
        <v>1924083</v>
      </c>
      <c r="G84" s="16" t="s">
        <v>508</v>
      </c>
      <c r="H84" s="17">
        <v>44011</v>
      </c>
      <c r="I84" s="18">
        <v>592000</v>
      </c>
      <c r="J84" s="19">
        <v>0.09</v>
      </c>
      <c r="K84" s="16" t="s">
        <v>82</v>
      </c>
      <c r="L84" s="16" t="s">
        <v>20</v>
      </c>
      <c r="M84" s="16" t="s">
        <v>509</v>
      </c>
      <c r="N84" s="16" t="s">
        <v>510</v>
      </c>
    </row>
    <row r="85" spans="1:14" ht="20.100000000000001" customHeight="1" x14ac:dyDescent="0.25">
      <c r="A85" s="15" t="s">
        <v>511</v>
      </c>
      <c r="B85" s="16" t="s">
        <v>512</v>
      </c>
      <c r="C85" s="15">
        <v>8402307</v>
      </c>
      <c r="D85" s="16" t="s">
        <v>131</v>
      </c>
      <c r="E85" s="15" t="s">
        <v>513</v>
      </c>
      <c r="F85" s="21" t="str">
        <f>HYPERLINK("https://psearch.kitsapgov.com/webappa/index.html?parcelID=2221687&amp;Theme=Imagery","2221687")</f>
        <v>2221687</v>
      </c>
      <c r="G85" s="16" t="s">
        <v>514</v>
      </c>
      <c r="H85" s="17">
        <v>43962</v>
      </c>
      <c r="I85" s="18">
        <v>250000</v>
      </c>
      <c r="J85" s="19">
        <v>1.98</v>
      </c>
      <c r="K85" s="16" t="s">
        <v>515</v>
      </c>
      <c r="L85" s="16" t="s">
        <v>38</v>
      </c>
      <c r="M85" s="16" t="s">
        <v>516</v>
      </c>
      <c r="N85" s="16" t="s">
        <v>517</v>
      </c>
    </row>
    <row r="86" spans="1:14" ht="20.100000000000001" customHeight="1" x14ac:dyDescent="0.25">
      <c r="A86" s="15" t="s">
        <v>518</v>
      </c>
      <c r="B86" s="16" t="s">
        <v>98</v>
      </c>
      <c r="C86" s="15">
        <v>8400206</v>
      </c>
      <c r="D86" s="16" t="s">
        <v>99</v>
      </c>
      <c r="E86" s="15" t="s">
        <v>519</v>
      </c>
      <c r="F86" s="21" t="str">
        <f>HYPERLINK("https://psearch.kitsapgov.com/webappa/index.html?parcelID=2070951&amp;Theme=Imagery","2070951")</f>
        <v>2070951</v>
      </c>
      <c r="G86" s="16" t="s">
        <v>520</v>
      </c>
      <c r="H86" s="17">
        <v>44011</v>
      </c>
      <c r="I86" s="18">
        <v>42000</v>
      </c>
      <c r="J86" s="19">
        <v>0</v>
      </c>
      <c r="L86" s="16" t="s">
        <v>20</v>
      </c>
      <c r="M86" s="16" t="s">
        <v>521</v>
      </c>
      <c r="N86" s="16" t="s">
        <v>522</v>
      </c>
    </row>
    <row r="87" spans="1:14" ht="20.100000000000001" customHeight="1" x14ac:dyDescent="0.25">
      <c r="A87" s="15" t="s">
        <v>523</v>
      </c>
      <c r="B87" s="16" t="s">
        <v>317</v>
      </c>
      <c r="C87" s="15">
        <v>9100541</v>
      </c>
      <c r="D87" s="16" t="s">
        <v>186</v>
      </c>
      <c r="E87" s="15" t="s">
        <v>524</v>
      </c>
      <c r="F87" s="21" t="str">
        <f>HYPERLINK("https://psearch.kitsapgov.com/webappa/index.html?parcelID=1422088&amp;Theme=Imagery","1422088")</f>
        <v>1422088</v>
      </c>
      <c r="G87" s="16" t="s">
        <v>525</v>
      </c>
      <c r="H87" s="17">
        <v>44005</v>
      </c>
      <c r="I87" s="18">
        <v>526000</v>
      </c>
      <c r="J87" s="19">
        <v>0.1</v>
      </c>
      <c r="K87" s="16" t="s">
        <v>377</v>
      </c>
      <c r="L87" s="16" t="s">
        <v>20</v>
      </c>
      <c r="M87" s="16" t="s">
        <v>526</v>
      </c>
      <c r="N87" s="16" t="s">
        <v>527</v>
      </c>
    </row>
    <row r="88" spans="1:14" ht="20.100000000000001" customHeight="1" x14ac:dyDescent="0.25">
      <c r="A88" s="15" t="s">
        <v>528</v>
      </c>
      <c r="B88" s="16" t="s">
        <v>98</v>
      </c>
      <c r="C88" s="15">
        <v>8400206</v>
      </c>
      <c r="D88" s="16" t="s">
        <v>99</v>
      </c>
      <c r="E88" s="15" t="s">
        <v>529</v>
      </c>
      <c r="F88" s="21" t="str">
        <f>HYPERLINK("https://psearch.kitsapgov.com/webappa/index.html?parcelID=2071041&amp;Theme=Imagery","2071041")</f>
        <v>2071041</v>
      </c>
      <c r="G88" s="16" t="s">
        <v>481</v>
      </c>
      <c r="H88" s="17">
        <v>44010</v>
      </c>
      <c r="I88" s="18">
        <v>46500</v>
      </c>
      <c r="J88" s="19">
        <v>0</v>
      </c>
      <c r="L88" s="16" t="s">
        <v>20</v>
      </c>
      <c r="M88" s="16" t="s">
        <v>530</v>
      </c>
      <c r="N88" s="16" t="s">
        <v>531</v>
      </c>
    </row>
    <row r="89" spans="1:14" ht="20.100000000000001" customHeight="1" x14ac:dyDescent="0.25">
      <c r="A89" s="15" t="s">
        <v>532</v>
      </c>
      <c r="B89" s="16" t="s">
        <v>533</v>
      </c>
      <c r="C89" s="15">
        <v>9100541</v>
      </c>
      <c r="D89" s="16" t="s">
        <v>186</v>
      </c>
      <c r="E89" s="15" t="s">
        <v>534</v>
      </c>
      <c r="F89" s="21" t="str">
        <f>HYPERLINK("https://psearch.kitsapgov.com/webappa/index.html?parcelID=1140664&amp;Theme=Imagery","1140664")</f>
        <v>1140664</v>
      </c>
      <c r="G89" s="16" t="s">
        <v>535</v>
      </c>
      <c r="H89" s="17">
        <v>44008</v>
      </c>
      <c r="I89" s="18">
        <v>808000</v>
      </c>
      <c r="J89" s="19">
        <v>0.15</v>
      </c>
      <c r="K89" s="16" t="s">
        <v>536</v>
      </c>
      <c r="L89" s="16" t="s">
        <v>20</v>
      </c>
      <c r="M89" s="16" t="s">
        <v>537</v>
      </c>
      <c r="N89" s="16" t="s">
        <v>538</v>
      </c>
    </row>
    <row r="90" spans="1:14" ht="20.100000000000001" customHeight="1" x14ac:dyDescent="0.25">
      <c r="A90" s="15" t="s">
        <v>539</v>
      </c>
      <c r="B90" s="16" t="s">
        <v>78</v>
      </c>
      <c r="C90" s="15">
        <v>8401102</v>
      </c>
      <c r="D90" s="16" t="s">
        <v>17</v>
      </c>
      <c r="E90" s="15" t="s">
        <v>540</v>
      </c>
      <c r="F90" s="21" t="str">
        <f>HYPERLINK("https://psearch.kitsapgov.com/webappa/index.html?parcelID=1246438&amp;Theme=Imagery","1246438")</f>
        <v>1246438</v>
      </c>
      <c r="G90" s="16" t="s">
        <v>541</v>
      </c>
      <c r="H90" s="17">
        <v>44012</v>
      </c>
      <c r="I90" s="18">
        <v>90900</v>
      </c>
      <c r="J90" s="19">
        <v>0.15</v>
      </c>
      <c r="K90" s="16" t="s">
        <v>308</v>
      </c>
      <c r="L90" s="16" t="s">
        <v>94</v>
      </c>
      <c r="M90" s="16" t="s">
        <v>542</v>
      </c>
      <c r="N90" s="16" t="s">
        <v>543</v>
      </c>
    </row>
    <row r="91" spans="1:14" ht="20.100000000000001" customHeight="1" x14ac:dyDescent="0.25">
      <c r="A91" s="15" t="s">
        <v>544</v>
      </c>
      <c r="B91" s="16" t="s">
        <v>159</v>
      </c>
      <c r="C91" s="15">
        <v>8400202</v>
      </c>
      <c r="D91" s="16" t="s">
        <v>440</v>
      </c>
      <c r="E91" s="15" t="s">
        <v>545</v>
      </c>
      <c r="F91" s="21" t="str">
        <f>HYPERLINK("https://psearch.kitsapgov.com/webappa/index.html?parcelID=1340702&amp;Theme=Imagery","1340702")</f>
        <v>1340702</v>
      </c>
      <c r="G91" s="16" t="s">
        <v>546</v>
      </c>
      <c r="H91" s="17">
        <v>44018</v>
      </c>
      <c r="I91" s="18">
        <v>4000000</v>
      </c>
      <c r="J91" s="19">
        <v>1.89</v>
      </c>
      <c r="K91" s="16" t="s">
        <v>443</v>
      </c>
      <c r="L91" s="16" t="s">
        <v>20</v>
      </c>
      <c r="M91" s="16" t="s">
        <v>547</v>
      </c>
      <c r="N91" s="16" t="s">
        <v>548</v>
      </c>
    </row>
    <row r="92" spans="1:14" ht="20.100000000000001" customHeight="1" x14ac:dyDescent="0.25">
      <c r="A92" s="15" t="s">
        <v>549</v>
      </c>
      <c r="B92" s="16" t="s">
        <v>105</v>
      </c>
      <c r="C92" s="15">
        <v>8100502</v>
      </c>
      <c r="D92" s="16" t="s">
        <v>142</v>
      </c>
      <c r="E92" s="15" t="s">
        <v>550</v>
      </c>
      <c r="F92" s="21" t="str">
        <f>HYPERLINK("https://psearch.kitsapgov.com/webappa/index.html?parcelID=2505378&amp;Theme=Imagery","2505378")</f>
        <v>2505378</v>
      </c>
      <c r="G92" s="16" t="s">
        <v>551</v>
      </c>
      <c r="H92" s="17">
        <v>44021</v>
      </c>
      <c r="I92" s="18">
        <v>365000</v>
      </c>
      <c r="J92" s="19">
        <v>1.49</v>
      </c>
      <c r="K92" s="16" t="s">
        <v>145</v>
      </c>
      <c r="L92" s="16" t="s">
        <v>20</v>
      </c>
      <c r="M92" s="16" t="s">
        <v>552</v>
      </c>
      <c r="N92" s="16" t="s">
        <v>553</v>
      </c>
    </row>
    <row r="93" spans="1:14" ht="20.100000000000001" customHeight="1" x14ac:dyDescent="0.25">
      <c r="A93" s="15" t="s">
        <v>554</v>
      </c>
      <c r="B93" s="16" t="s">
        <v>48</v>
      </c>
      <c r="C93" s="15">
        <v>8402307</v>
      </c>
      <c r="D93" s="16" t="s">
        <v>131</v>
      </c>
      <c r="E93" s="15" t="s">
        <v>555</v>
      </c>
      <c r="F93" s="21" t="str">
        <f>HYPERLINK("https://psearch.kitsapgov.com/webappa/index.html?parcelID=2510477&amp;Theme=Imagery","2510477")</f>
        <v>2510477</v>
      </c>
      <c r="G93" s="16" t="s">
        <v>556</v>
      </c>
      <c r="H93" s="17">
        <v>44020</v>
      </c>
      <c r="I93" s="18">
        <v>1150000</v>
      </c>
      <c r="J93" s="19">
        <v>5.7</v>
      </c>
      <c r="K93" s="16" t="s">
        <v>515</v>
      </c>
      <c r="L93" s="16" t="s">
        <v>20</v>
      </c>
      <c r="M93" s="16" t="s">
        <v>557</v>
      </c>
      <c r="N93" s="16" t="s">
        <v>558</v>
      </c>
    </row>
    <row r="94" spans="1:14" ht="20.100000000000001" customHeight="1" x14ac:dyDescent="0.25">
      <c r="A94" s="15" t="s">
        <v>559</v>
      </c>
      <c r="B94" s="16" t="s">
        <v>560</v>
      </c>
      <c r="C94" s="15">
        <v>8402405</v>
      </c>
      <c r="D94" s="16" t="s">
        <v>71</v>
      </c>
      <c r="E94" s="15" t="s">
        <v>561</v>
      </c>
      <c r="F94" s="21" t="str">
        <f>HYPERLINK("https://psearch.kitsapgov.com/webappa/index.html?parcelID=2455988&amp;Theme=Imagery","2455988")</f>
        <v>2455988</v>
      </c>
      <c r="G94" s="16" t="s">
        <v>562</v>
      </c>
      <c r="H94" s="17">
        <v>44021</v>
      </c>
      <c r="I94" s="18">
        <v>68000</v>
      </c>
      <c r="J94" s="19">
        <v>0</v>
      </c>
      <c r="L94" s="16" t="s">
        <v>38</v>
      </c>
      <c r="M94" s="16" t="s">
        <v>563</v>
      </c>
      <c r="N94" s="16" t="s">
        <v>564</v>
      </c>
    </row>
    <row r="95" spans="1:14" ht="20.100000000000001" customHeight="1" x14ac:dyDescent="0.25">
      <c r="A95" s="15" t="s">
        <v>565</v>
      </c>
      <c r="B95" s="16" t="s">
        <v>98</v>
      </c>
      <c r="C95" s="15">
        <v>8400206</v>
      </c>
      <c r="D95" s="16" t="s">
        <v>99</v>
      </c>
      <c r="E95" s="15" t="s">
        <v>566</v>
      </c>
      <c r="F95" s="21" t="str">
        <f>HYPERLINK("https://psearch.kitsapgov.com/webappa/index.html?parcelID=2071009&amp;Theme=Imagery","2071009")</f>
        <v>2071009</v>
      </c>
      <c r="G95" s="16" t="s">
        <v>567</v>
      </c>
      <c r="H95" s="17">
        <v>44028</v>
      </c>
      <c r="I95" s="18">
        <v>48000</v>
      </c>
      <c r="J95" s="19">
        <v>0</v>
      </c>
      <c r="L95" s="16" t="s">
        <v>20</v>
      </c>
      <c r="M95" s="16" t="s">
        <v>568</v>
      </c>
      <c r="N95" s="16" t="s">
        <v>569</v>
      </c>
    </row>
    <row r="96" spans="1:14" ht="20.100000000000001" customHeight="1" x14ac:dyDescent="0.25">
      <c r="A96" s="15" t="s">
        <v>570</v>
      </c>
      <c r="B96" s="16" t="s">
        <v>98</v>
      </c>
      <c r="C96" s="15">
        <v>8400206</v>
      </c>
      <c r="D96" s="16" t="s">
        <v>99</v>
      </c>
      <c r="E96" s="15" t="s">
        <v>571</v>
      </c>
      <c r="F96" s="21" t="str">
        <f>HYPERLINK("https://psearch.kitsapgov.com/webappa/index.html?parcelID=2071124&amp;Theme=Imagery","2071124")</f>
        <v>2071124</v>
      </c>
      <c r="G96" s="16" t="s">
        <v>481</v>
      </c>
      <c r="H96" s="17">
        <v>44034</v>
      </c>
      <c r="I96" s="18">
        <v>47000</v>
      </c>
      <c r="J96" s="19">
        <v>0</v>
      </c>
      <c r="L96" s="16" t="s">
        <v>20</v>
      </c>
      <c r="M96" s="16" t="s">
        <v>572</v>
      </c>
      <c r="N96" s="16" t="s">
        <v>573</v>
      </c>
    </row>
    <row r="97" spans="1:14" ht="20.100000000000001" customHeight="1" x14ac:dyDescent="0.25">
      <c r="A97" s="15" t="s">
        <v>574</v>
      </c>
      <c r="B97" s="16" t="s">
        <v>78</v>
      </c>
      <c r="C97" s="15">
        <v>9401120</v>
      </c>
      <c r="D97" s="16" t="s">
        <v>575</v>
      </c>
      <c r="E97" s="15" t="s">
        <v>576</v>
      </c>
      <c r="F97" s="21" t="str">
        <f>HYPERLINK("https://psearch.kitsapgov.com/webappa/index.html?parcelID=1240696&amp;Theme=Imagery","1240696")</f>
        <v>1240696</v>
      </c>
      <c r="G97" s="16" t="s">
        <v>577</v>
      </c>
      <c r="H97" s="17">
        <v>44041</v>
      </c>
      <c r="I97" s="18">
        <v>300000</v>
      </c>
      <c r="J97" s="19">
        <v>1.97</v>
      </c>
      <c r="K97" s="16" t="s">
        <v>37</v>
      </c>
      <c r="L97" s="16" t="s">
        <v>20</v>
      </c>
      <c r="M97" s="16" t="s">
        <v>578</v>
      </c>
      <c r="N97" s="16" t="s">
        <v>579</v>
      </c>
    </row>
    <row r="98" spans="1:14" ht="20.100000000000001" customHeight="1" x14ac:dyDescent="0.25">
      <c r="A98" s="15" t="s">
        <v>580</v>
      </c>
      <c r="B98" s="16" t="s">
        <v>70</v>
      </c>
      <c r="C98" s="15">
        <v>8400204</v>
      </c>
      <c r="D98" s="16" t="s">
        <v>194</v>
      </c>
      <c r="E98" s="15" t="s">
        <v>581</v>
      </c>
      <c r="F98" s="21" t="str">
        <f>HYPERLINK("https://psearch.kitsapgov.com/webappa/index.html?parcelID=2444156&amp;Theme=Imagery","2444156")</f>
        <v>2444156</v>
      </c>
      <c r="G98" s="16" t="s">
        <v>582</v>
      </c>
      <c r="H98" s="17">
        <v>44039</v>
      </c>
      <c r="I98" s="18">
        <v>210000</v>
      </c>
      <c r="J98" s="19">
        <v>1.2</v>
      </c>
      <c r="K98" s="16" t="s">
        <v>583</v>
      </c>
      <c r="L98" s="16" t="s">
        <v>20</v>
      </c>
      <c r="M98" s="16" t="s">
        <v>584</v>
      </c>
      <c r="N98" s="16" t="s">
        <v>585</v>
      </c>
    </row>
    <row r="99" spans="1:14" ht="20.100000000000001" customHeight="1" x14ac:dyDescent="0.25">
      <c r="A99" s="15" t="s">
        <v>586</v>
      </c>
      <c r="B99" s="16" t="s">
        <v>48</v>
      </c>
      <c r="C99" s="15">
        <v>9400203</v>
      </c>
      <c r="D99" s="16" t="s">
        <v>49</v>
      </c>
      <c r="E99" s="15" t="s">
        <v>587</v>
      </c>
      <c r="F99" s="21" t="str">
        <f>HYPERLINK("https://psearch.kitsapgov.com/webappa/index.html?parcelID=2600476&amp;Theme=Imagery","2600476")</f>
        <v>2600476</v>
      </c>
      <c r="G99" s="16" t="s">
        <v>588</v>
      </c>
      <c r="H99" s="17">
        <v>44040</v>
      </c>
      <c r="I99" s="18">
        <v>27000000</v>
      </c>
      <c r="J99" s="19">
        <v>6.67</v>
      </c>
      <c r="K99" s="16" t="s">
        <v>115</v>
      </c>
      <c r="L99" s="16" t="s">
        <v>38</v>
      </c>
      <c r="M99" s="16" t="s">
        <v>589</v>
      </c>
      <c r="N99" s="16" t="s">
        <v>590</v>
      </c>
    </row>
    <row r="100" spans="1:14" ht="20.100000000000001" customHeight="1" x14ac:dyDescent="0.25">
      <c r="A100" s="15" t="s">
        <v>591</v>
      </c>
      <c r="B100" s="16" t="s">
        <v>381</v>
      </c>
      <c r="C100" s="15">
        <v>8402307</v>
      </c>
      <c r="D100" s="16" t="s">
        <v>131</v>
      </c>
      <c r="E100" s="15" t="s">
        <v>592</v>
      </c>
      <c r="F100" s="21" t="str">
        <f>HYPERLINK("https://psearch.kitsapgov.com/webappa/index.html?parcelID=1037225&amp;Theme=Imagery","1037225")</f>
        <v>1037225</v>
      </c>
      <c r="G100" s="16" t="s">
        <v>593</v>
      </c>
      <c r="H100" s="17">
        <v>44040</v>
      </c>
      <c r="I100" s="18">
        <v>1400000</v>
      </c>
      <c r="J100" s="19">
        <v>0.88</v>
      </c>
      <c r="K100" s="16" t="s">
        <v>368</v>
      </c>
      <c r="L100" s="16" t="s">
        <v>20</v>
      </c>
      <c r="M100" s="16" t="s">
        <v>594</v>
      </c>
      <c r="N100" s="16" t="s">
        <v>595</v>
      </c>
    </row>
    <row r="101" spans="1:14" ht="20.100000000000001" customHeight="1" x14ac:dyDescent="0.25">
      <c r="A101" s="15" t="s">
        <v>596</v>
      </c>
      <c r="B101" s="16" t="s">
        <v>78</v>
      </c>
      <c r="C101" s="15">
        <v>8100502</v>
      </c>
      <c r="D101" s="16" t="s">
        <v>142</v>
      </c>
      <c r="E101" s="15" t="s">
        <v>597</v>
      </c>
      <c r="F101" s="21" t="str">
        <f>HYPERLINK("https://psearch.kitsapgov.com/webappa/index.html?parcelID=1442375&amp;Theme=Imagery","1442375")</f>
        <v>1442375</v>
      </c>
      <c r="G101" s="16" t="s">
        <v>598</v>
      </c>
      <c r="H101" s="17">
        <v>44040</v>
      </c>
      <c r="I101" s="18">
        <v>80000</v>
      </c>
      <c r="J101" s="19">
        <v>0.47</v>
      </c>
      <c r="K101" s="16" t="s">
        <v>145</v>
      </c>
      <c r="L101" s="16" t="s">
        <v>38</v>
      </c>
      <c r="M101" s="16" t="s">
        <v>599</v>
      </c>
      <c r="N101" s="16" t="s">
        <v>600</v>
      </c>
    </row>
    <row r="102" spans="1:14" ht="20.100000000000001" customHeight="1" x14ac:dyDescent="0.25">
      <c r="A102" s="15" t="s">
        <v>601</v>
      </c>
      <c r="B102" s="16" t="s">
        <v>159</v>
      </c>
      <c r="C102" s="15">
        <v>8100506</v>
      </c>
      <c r="D102" s="16" t="s">
        <v>286</v>
      </c>
      <c r="E102" s="15" t="s">
        <v>602</v>
      </c>
      <c r="F102" s="21" t="str">
        <f>HYPERLINK("https://psearch.kitsapgov.com/webappa/index.html?parcelID=1104629&amp;Theme=Imagery","1104629")</f>
        <v>1104629</v>
      </c>
      <c r="G102" s="16" t="s">
        <v>603</v>
      </c>
      <c r="H102" s="17">
        <v>44042</v>
      </c>
      <c r="I102" s="18">
        <v>675000</v>
      </c>
      <c r="J102" s="19">
        <v>0.26</v>
      </c>
      <c r="K102" s="16" t="s">
        <v>168</v>
      </c>
      <c r="L102" s="16" t="s">
        <v>38</v>
      </c>
      <c r="M102" s="16" t="s">
        <v>604</v>
      </c>
      <c r="N102" s="16" t="s">
        <v>605</v>
      </c>
    </row>
    <row r="103" spans="1:14" ht="20.100000000000001" customHeight="1" x14ac:dyDescent="0.25">
      <c r="A103" s="15" t="s">
        <v>606</v>
      </c>
      <c r="B103" s="16" t="s">
        <v>78</v>
      </c>
      <c r="C103" s="15">
        <v>8100502</v>
      </c>
      <c r="D103" s="16" t="s">
        <v>142</v>
      </c>
      <c r="E103" s="15" t="s">
        <v>607</v>
      </c>
      <c r="F103" s="21" t="str">
        <f>HYPERLINK("https://psearch.kitsapgov.com/webappa/index.html?parcelID=1442367&amp;Theme=Imagery","1442367")</f>
        <v>1442367</v>
      </c>
      <c r="G103" s="16" t="s">
        <v>608</v>
      </c>
      <c r="H103" s="17">
        <v>44041</v>
      </c>
      <c r="I103" s="18">
        <v>270000</v>
      </c>
      <c r="J103" s="19">
        <v>0.45</v>
      </c>
      <c r="K103" s="16" t="s">
        <v>145</v>
      </c>
      <c r="L103" s="16" t="s">
        <v>20</v>
      </c>
      <c r="M103" s="16" t="s">
        <v>599</v>
      </c>
      <c r="N103" s="16" t="s">
        <v>600</v>
      </c>
    </row>
    <row r="104" spans="1:14" ht="20.100000000000001" customHeight="1" x14ac:dyDescent="0.25">
      <c r="A104" s="15" t="s">
        <v>609</v>
      </c>
      <c r="B104" s="16" t="s">
        <v>159</v>
      </c>
      <c r="C104" s="15">
        <v>8100501</v>
      </c>
      <c r="D104" s="16" t="s">
        <v>63</v>
      </c>
      <c r="E104" s="15" t="s">
        <v>610</v>
      </c>
      <c r="F104" s="21" t="str">
        <f>HYPERLINK("https://psearch.kitsapgov.com/webappa/index.html?parcelID=1427962&amp;Theme=Imagery","1427962")</f>
        <v>1427962</v>
      </c>
      <c r="G104" s="16" t="s">
        <v>611</v>
      </c>
      <c r="H104" s="17">
        <v>44041</v>
      </c>
      <c r="I104" s="18">
        <v>270000</v>
      </c>
      <c r="J104" s="19">
        <v>0.14000000000000001</v>
      </c>
      <c r="K104" s="16" t="s">
        <v>93</v>
      </c>
      <c r="L104" s="16" t="s">
        <v>20</v>
      </c>
      <c r="M104" s="16" t="s">
        <v>612</v>
      </c>
      <c r="N104" s="16" t="s">
        <v>613</v>
      </c>
    </row>
    <row r="105" spans="1:14" ht="20.100000000000001" customHeight="1" x14ac:dyDescent="0.25">
      <c r="A105" s="15" t="s">
        <v>614</v>
      </c>
      <c r="B105" s="16" t="s">
        <v>615</v>
      </c>
      <c r="C105" s="15">
        <v>9100541</v>
      </c>
      <c r="D105" s="16" t="s">
        <v>186</v>
      </c>
      <c r="E105" s="15" t="s">
        <v>616</v>
      </c>
      <c r="F105" s="21" t="str">
        <f>HYPERLINK("https://psearch.kitsapgov.com/webappa/index.html?parcelID=1454818&amp;Theme=Imagery","1454818")</f>
        <v>1454818</v>
      </c>
      <c r="G105" s="16" t="s">
        <v>617</v>
      </c>
      <c r="H105" s="17">
        <v>44049</v>
      </c>
      <c r="I105" s="18">
        <v>1300000</v>
      </c>
      <c r="J105" s="19">
        <v>0.1</v>
      </c>
      <c r="K105" s="16" t="s">
        <v>349</v>
      </c>
      <c r="L105" s="16" t="s">
        <v>20</v>
      </c>
      <c r="M105" s="16" t="s">
        <v>618</v>
      </c>
      <c r="N105" s="16" t="s">
        <v>619</v>
      </c>
    </row>
    <row r="106" spans="1:14" ht="20.100000000000001" customHeight="1" x14ac:dyDescent="0.25">
      <c r="A106" s="15" t="s">
        <v>620</v>
      </c>
      <c r="B106" s="16" t="s">
        <v>105</v>
      </c>
      <c r="C106" s="15">
        <v>8402306</v>
      </c>
      <c r="D106" s="16" t="s">
        <v>621</v>
      </c>
      <c r="E106" s="15" t="s">
        <v>622</v>
      </c>
      <c r="F106" s="21" t="str">
        <f>HYPERLINK("https://psearch.kitsapgov.com/webappa/index.html?parcelID=1738590&amp;Theme=Imagery","1738590")</f>
        <v>1738590</v>
      </c>
      <c r="G106" s="16" t="s">
        <v>623</v>
      </c>
      <c r="H106" s="17">
        <v>44049</v>
      </c>
      <c r="I106" s="18">
        <v>551109</v>
      </c>
      <c r="J106" s="19">
        <v>0.18</v>
      </c>
      <c r="K106" s="16" t="s">
        <v>624</v>
      </c>
      <c r="L106" s="16" t="s">
        <v>38</v>
      </c>
      <c r="M106" s="16" t="s">
        <v>625</v>
      </c>
      <c r="N106" s="16" t="s">
        <v>626</v>
      </c>
    </row>
    <row r="107" spans="1:14" ht="20.100000000000001" customHeight="1" x14ac:dyDescent="0.25">
      <c r="A107" s="15" t="s">
        <v>627</v>
      </c>
      <c r="B107" s="16" t="s">
        <v>159</v>
      </c>
      <c r="C107" s="15">
        <v>8402307</v>
      </c>
      <c r="D107" s="16" t="s">
        <v>131</v>
      </c>
      <c r="E107" s="15" t="s">
        <v>628</v>
      </c>
      <c r="F107" s="21" t="str">
        <f>HYPERLINK("https://psearch.kitsapgov.com/webappa/index.html?parcelID=2193423&amp;Theme=Imagery","2193423")</f>
        <v>2193423</v>
      </c>
      <c r="G107" s="16" t="s">
        <v>629</v>
      </c>
      <c r="H107" s="17">
        <v>44039</v>
      </c>
      <c r="I107" s="18">
        <v>5000</v>
      </c>
      <c r="J107" s="19">
        <v>1</v>
      </c>
      <c r="K107" s="16" t="s">
        <v>630</v>
      </c>
      <c r="L107" s="16" t="s">
        <v>631</v>
      </c>
      <c r="M107" s="16" t="s">
        <v>632</v>
      </c>
      <c r="N107" s="16" t="s">
        <v>633</v>
      </c>
    </row>
    <row r="108" spans="1:14" ht="20.100000000000001" customHeight="1" x14ac:dyDescent="0.25">
      <c r="A108" s="15" t="s">
        <v>634</v>
      </c>
      <c r="B108" s="16" t="s">
        <v>98</v>
      </c>
      <c r="C108" s="15">
        <v>8303660</v>
      </c>
      <c r="D108" s="16" t="s">
        <v>252</v>
      </c>
      <c r="E108" s="15" t="s">
        <v>635</v>
      </c>
      <c r="F108" s="21" t="str">
        <f>HYPERLINK("https://psearch.kitsapgov.com/webappa/index.html?parcelID=1883248&amp;Theme=Imagery","1883248")</f>
        <v>1883248</v>
      </c>
      <c r="G108" s="16" t="s">
        <v>636</v>
      </c>
      <c r="H108" s="17">
        <v>44054</v>
      </c>
      <c r="I108" s="18">
        <v>192000</v>
      </c>
      <c r="J108" s="19">
        <v>0</v>
      </c>
      <c r="L108" s="16" t="s">
        <v>20</v>
      </c>
      <c r="M108" s="16" t="s">
        <v>637</v>
      </c>
      <c r="N108" s="16" t="s">
        <v>638</v>
      </c>
    </row>
    <row r="109" spans="1:14" ht="20.100000000000001" customHeight="1" x14ac:dyDescent="0.25">
      <c r="A109" s="15" t="s">
        <v>639</v>
      </c>
      <c r="B109" s="16" t="s">
        <v>24</v>
      </c>
      <c r="C109" s="15">
        <v>8100506</v>
      </c>
      <c r="D109" s="16" t="s">
        <v>286</v>
      </c>
      <c r="E109" s="15" t="s">
        <v>640</v>
      </c>
      <c r="F109" s="21" t="str">
        <f>HYPERLINK("https://psearch.kitsapgov.com/webappa/index.html?parcelID=2395655&amp;Theme=Imagery","2395655")</f>
        <v>2395655</v>
      </c>
      <c r="G109" s="16" t="s">
        <v>641</v>
      </c>
      <c r="H109" s="17">
        <v>44053</v>
      </c>
      <c r="I109" s="18">
        <v>295000</v>
      </c>
      <c r="J109" s="19">
        <v>0.31</v>
      </c>
      <c r="K109" s="16" t="s">
        <v>168</v>
      </c>
      <c r="L109" s="16" t="s">
        <v>20</v>
      </c>
      <c r="M109" s="16" t="s">
        <v>642</v>
      </c>
      <c r="N109" s="16" t="s">
        <v>643</v>
      </c>
    </row>
    <row r="110" spans="1:14" ht="20.100000000000001" customHeight="1" x14ac:dyDescent="0.25">
      <c r="A110" s="15" t="s">
        <v>644</v>
      </c>
      <c r="B110" s="16" t="s">
        <v>185</v>
      </c>
      <c r="C110" s="15">
        <v>9402390</v>
      </c>
      <c r="D110" s="16" t="s">
        <v>173</v>
      </c>
      <c r="E110" s="15" t="s">
        <v>645</v>
      </c>
      <c r="F110" s="21" t="str">
        <f>HYPERLINK("https://psearch.kitsapgov.com/webappa/index.html?parcelID=1038926&amp;Theme=Imagery","1038926")</f>
        <v>1038926</v>
      </c>
      <c r="G110" s="16" t="s">
        <v>646</v>
      </c>
      <c r="H110" s="17">
        <v>44041</v>
      </c>
      <c r="I110" s="18">
        <v>670000</v>
      </c>
      <c r="J110" s="19">
        <v>0.25</v>
      </c>
      <c r="K110" s="16" t="s">
        <v>647</v>
      </c>
      <c r="L110" s="16" t="s">
        <v>20</v>
      </c>
      <c r="M110" s="16" t="s">
        <v>648</v>
      </c>
      <c r="N110" s="16" t="s">
        <v>649</v>
      </c>
    </row>
    <row r="111" spans="1:14" ht="20.100000000000001" customHeight="1" x14ac:dyDescent="0.25">
      <c r="A111" s="15" t="s">
        <v>650</v>
      </c>
      <c r="B111" s="16" t="s">
        <v>98</v>
      </c>
      <c r="C111" s="15">
        <v>8400206</v>
      </c>
      <c r="D111" s="16" t="s">
        <v>99</v>
      </c>
      <c r="E111" s="15" t="s">
        <v>651</v>
      </c>
      <c r="F111" s="21" t="str">
        <f>HYPERLINK("https://psearch.kitsapgov.com/webappa/index.html?parcelID=2071967&amp;Theme=Imagery","2071967")</f>
        <v>2071967</v>
      </c>
      <c r="G111" s="16" t="s">
        <v>486</v>
      </c>
      <c r="H111" s="17">
        <v>44063</v>
      </c>
      <c r="I111" s="18">
        <v>49500</v>
      </c>
      <c r="J111" s="19">
        <v>0</v>
      </c>
      <c r="L111" s="16" t="s">
        <v>20</v>
      </c>
      <c r="M111" s="16" t="s">
        <v>652</v>
      </c>
      <c r="N111" s="16" t="s">
        <v>653</v>
      </c>
    </row>
    <row r="112" spans="1:14" ht="20.100000000000001" customHeight="1" x14ac:dyDescent="0.25">
      <c r="A112" s="15" t="s">
        <v>654</v>
      </c>
      <c r="B112" s="16" t="s">
        <v>209</v>
      </c>
      <c r="C112" s="15">
        <v>8400201</v>
      </c>
      <c r="D112" s="16" t="s">
        <v>496</v>
      </c>
      <c r="E112" s="15" t="s">
        <v>655</v>
      </c>
      <c r="F112" s="21" t="str">
        <f>HYPERLINK("https://psearch.kitsapgov.com/webappa/index.html?parcelID=1343003&amp;Theme=Imagery","1343003")</f>
        <v>1343003</v>
      </c>
      <c r="G112" s="16" t="s">
        <v>656</v>
      </c>
      <c r="H112" s="17">
        <v>44063</v>
      </c>
      <c r="I112" s="18">
        <v>995000</v>
      </c>
      <c r="J112" s="19">
        <v>7.0000000000000007E-2</v>
      </c>
      <c r="K112" s="16" t="s">
        <v>499</v>
      </c>
      <c r="L112" s="16" t="s">
        <v>20</v>
      </c>
      <c r="M112" s="16" t="s">
        <v>657</v>
      </c>
      <c r="N112" s="16" t="s">
        <v>658</v>
      </c>
    </row>
    <row r="113" spans="1:14" ht="20.100000000000001" customHeight="1" x14ac:dyDescent="0.25">
      <c r="A113" s="15" t="s">
        <v>659</v>
      </c>
      <c r="B113" s="16" t="s">
        <v>98</v>
      </c>
      <c r="C113" s="15">
        <v>8400206</v>
      </c>
      <c r="D113" s="16" t="s">
        <v>99</v>
      </c>
      <c r="E113" s="15" t="s">
        <v>660</v>
      </c>
      <c r="F113" s="21" t="str">
        <f>HYPERLINK("https://psearch.kitsapgov.com/webappa/index.html?parcelID=2070852&amp;Theme=Imagery","2070852")</f>
        <v>2070852</v>
      </c>
      <c r="G113" s="16" t="s">
        <v>661</v>
      </c>
      <c r="H113" s="17">
        <v>44063</v>
      </c>
      <c r="I113" s="18">
        <v>42000</v>
      </c>
      <c r="J113" s="19">
        <v>0</v>
      </c>
      <c r="L113" s="16" t="s">
        <v>20</v>
      </c>
      <c r="M113" s="16" t="s">
        <v>662</v>
      </c>
      <c r="N113" s="16" t="s">
        <v>663</v>
      </c>
    </row>
    <row r="114" spans="1:14" ht="20.100000000000001" customHeight="1" x14ac:dyDescent="0.25">
      <c r="A114" s="15" t="s">
        <v>664</v>
      </c>
      <c r="B114" s="16" t="s">
        <v>98</v>
      </c>
      <c r="C114" s="15">
        <v>8400206</v>
      </c>
      <c r="D114" s="16" t="s">
        <v>99</v>
      </c>
      <c r="E114" s="15" t="s">
        <v>665</v>
      </c>
      <c r="F114" s="21" t="str">
        <f>HYPERLINK("https://psearch.kitsapgov.com/webappa/index.html?parcelID=2071421&amp;Theme=Imagery","2071421")</f>
        <v>2071421</v>
      </c>
      <c r="G114" s="16" t="s">
        <v>666</v>
      </c>
      <c r="H114" s="17">
        <v>44064</v>
      </c>
      <c r="I114" s="18">
        <v>21000</v>
      </c>
      <c r="J114" s="19">
        <v>0</v>
      </c>
      <c r="L114" s="16" t="s">
        <v>20</v>
      </c>
      <c r="M114" s="16" t="s">
        <v>667</v>
      </c>
      <c r="N114" s="16" t="s">
        <v>668</v>
      </c>
    </row>
    <row r="115" spans="1:14" ht="20.100000000000001" customHeight="1" x14ac:dyDescent="0.25">
      <c r="A115" s="15" t="s">
        <v>669</v>
      </c>
      <c r="B115" s="16" t="s">
        <v>105</v>
      </c>
      <c r="C115" s="15">
        <v>8100505</v>
      </c>
      <c r="D115" s="16" t="s">
        <v>670</v>
      </c>
      <c r="E115" s="15" t="s">
        <v>671</v>
      </c>
      <c r="F115" s="21" t="str">
        <f>HYPERLINK("https://psearch.kitsapgov.com/webappa/index.html?parcelID=1490432&amp;Theme=Imagery","1490432")</f>
        <v>1490432</v>
      </c>
      <c r="G115" s="16" t="s">
        <v>672</v>
      </c>
      <c r="H115" s="17">
        <v>44067</v>
      </c>
      <c r="I115" s="18">
        <v>150000</v>
      </c>
      <c r="J115" s="19">
        <v>0.47</v>
      </c>
      <c r="K115" s="16" t="s">
        <v>673</v>
      </c>
      <c r="L115" s="16" t="s">
        <v>38</v>
      </c>
      <c r="M115" s="16" t="s">
        <v>674</v>
      </c>
      <c r="N115" s="16" t="s">
        <v>675</v>
      </c>
    </row>
    <row r="116" spans="1:14" ht="20.100000000000001" customHeight="1" x14ac:dyDescent="0.25">
      <c r="A116" s="15" t="s">
        <v>676</v>
      </c>
      <c r="B116" s="16" t="s">
        <v>24</v>
      </c>
      <c r="C116" s="15">
        <v>8401102</v>
      </c>
      <c r="D116" s="16" t="s">
        <v>17</v>
      </c>
      <c r="E116" s="15" t="s">
        <v>677</v>
      </c>
      <c r="F116" s="21" t="str">
        <f>HYPERLINK("https://psearch.kitsapgov.com/webappa/index.html?parcelID=1658590&amp;Theme=Imagery","1658590")</f>
        <v>1658590</v>
      </c>
      <c r="G116" s="16" t="s">
        <v>678</v>
      </c>
      <c r="H116" s="17">
        <v>44068</v>
      </c>
      <c r="I116" s="18">
        <v>375000</v>
      </c>
      <c r="J116" s="19">
        <v>0.23</v>
      </c>
      <c r="K116" s="16" t="s">
        <v>679</v>
      </c>
      <c r="L116" s="16" t="s">
        <v>20</v>
      </c>
      <c r="M116" s="16" t="s">
        <v>680</v>
      </c>
      <c r="N116" s="16" t="s">
        <v>681</v>
      </c>
    </row>
    <row r="117" spans="1:14" ht="20.100000000000001" customHeight="1" x14ac:dyDescent="0.25">
      <c r="A117" s="15" t="s">
        <v>682</v>
      </c>
      <c r="B117" s="16" t="s">
        <v>159</v>
      </c>
      <c r="C117" s="15">
        <v>8100505</v>
      </c>
      <c r="D117" s="16" t="s">
        <v>670</v>
      </c>
      <c r="E117" s="15" t="s">
        <v>683</v>
      </c>
      <c r="F117" s="21" t="str">
        <f>HYPERLINK("https://psearch.kitsapgov.com/webappa/index.html?parcelID=1496777&amp;Theme=Imagery","1496777")</f>
        <v>1496777</v>
      </c>
      <c r="G117" s="16" t="s">
        <v>684</v>
      </c>
      <c r="H117" s="17">
        <v>44067</v>
      </c>
      <c r="I117" s="18">
        <v>288000</v>
      </c>
      <c r="J117" s="19">
        <v>0.28999999999999998</v>
      </c>
      <c r="K117" s="16" t="s">
        <v>673</v>
      </c>
      <c r="L117" s="16" t="s">
        <v>38</v>
      </c>
      <c r="M117" s="16" t="s">
        <v>685</v>
      </c>
      <c r="N117" s="16" t="s">
        <v>686</v>
      </c>
    </row>
    <row r="118" spans="1:14" ht="20.100000000000001" customHeight="1" x14ac:dyDescent="0.25">
      <c r="A118" s="15" t="s">
        <v>687</v>
      </c>
      <c r="B118" s="16" t="s">
        <v>98</v>
      </c>
      <c r="C118" s="15">
        <v>8400206</v>
      </c>
      <c r="D118" s="16" t="s">
        <v>99</v>
      </c>
      <c r="E118" s="15" t="s">
        <v>688</v>
      </c>
      <c r="F118" s="21" t="str">
        <f>HYPERLINK("https://psearch.kitsapgov.com/webappa/index.html?parcelID=2071090&amp;Theme=Imagery","2071090")</f>
        <v>2071090</v>
      </c>
      <c r="G118" s="16" t="s">
        <v>101</v>
      </c>
      <c r="H118" s="17">
        <v>44074</v>
      </c>
      <c r="I118" s="18">
        <v>48000</v>
      </c>
      <c r="J118" s="19">
        <v>0</v>
      </c>
      <c r="L118" s="16" t="s">
        <v>20</v>
      </c>
      <c r="M118" s="16" t="s">
        <v>689</v>
      </c>
      <c r="N118" s="16" t="s">
        <v>690</v>
      </c>
    </row>
    <row r="119" spans="1:14" ht="20.100000000000001" customHeight="1" x14ac:dyDescent="0.25">
      <c r="A119" s="15" t="s">
        <v>691</v>
      </c>
      <c r="B119" s="16" t="s">
        <v>98</v>
      </c>
      <c r="C119" s="15">
        <v>8400206</v>
      </c>
      <c r="D119" s="16" t="s">
        <v>99</v>
      </c>
      <c r="E119" s="15" t="s">
        <v>692</v>
      </c>
      <c r="F119" s="21" t="str">
        <f>HYPERLINK("https://psearch.kitsapgov.com/webappa/index.html?parcelID=2071579&amp;Theme=Imagery","2071579")</f>
        <v>2071579</v>
      </c>
      <c r="G119" s="16" t="s">
        <v>337</v>
      </c>
      <c r="H119" s="17">
        <v>44074</v>
      </c>
      <c r="I119" s="18">
        <v>30000</v>
      </c>
      <c r="J119" s="19">
        <v>0</v>
      </c>
      <c r="L119" s="16" t="s">
        <v>20</v>
      </c>
      <c r="M119" s="16" t="s">
        <v>693</v>
      </c>
      <c r="N119" s="16" t="s">
        <v>694</v>
      </c>
    </row>
    <row r="120" spans="1:14" ht="20.100000000000001" customHeight="1" x14ac:dyDescent="0.25">
      <c r="A120" s="15" t="s">
        <v>695</v>
      </c>
      <c r="B120" s="16" t="s">
        <v>48</v>
      </c>
      <c r="C120" s="15">
        <v>9401592</v>
      </c>
      <c r="D120" s="16" t="s">
        <v>696</v>
      </c>
      <c r="E120" s="15" t="s">
        <v>697</v>
      </c>
      <c r="F120" s="21" t="str">
        <f>HYPERLINK("https://psearch.kitsapgov.com/webappa/index.html?parcelID=1279496&amp;Theme=Imagery","1279496")</f>
        <v>1279496</v>
      </c>
      <c r="G120" s="16" t="s">
        <v>698</v>
      </c>
      <c r="H120" s="17">
        <v>44053</v>
      </c>
      <c r="I120" s="18">
        <v>561000</v>
      </c>
      <c r="J120" s="19">
        <v>3.7</v>
      </c>
      <c r="K120" s="16" t="s">
        <v>699</v>
      </c>
      <c r="L120" s="16" t="s">
        <v>20</v>
      </c>
      <c r="M120" s="16" t="s">
        <v>700</v>
      </c>
      <c r="N120" s="16" t="s">
        <v>701</v>
      </c>
    </row>
    <row r="121" spans="1:14" ht="20.100000000000001" customHeight="1" x14ac:dyDescent="0.25">
      <c r="A121" s="15" t="s">
        <v>702</v>
      </c>
      <c r="B121" s="16" t="s">
        <v>285</v>
      </c>
      <c r="C121" s="15">
        <v>8100502</v>
      </c>
      <c r="D121" s="16" t="s">
        <v>142</v>
      </c>
      <c r="E121" s="15" t="s">
        <v>703</v>
      </c>
      <c r="F121" s="21" t="str">
        <f>HYPERLINK("https://psearch.kitsapgov.com/webappa/index.html?parcelID=1457589&amp;Theme=Imagery","1457589")</f>
        <v>1457589</v>
      </c>
      <c r="G121" s="16" t="s">
        <v>704</v>
      </c>
      <c r="H121" s="17">
        <v>44074</v>
      </c>
      <c r="I121" s="18">
        <v>1900000</v>
      </c>
      <c r="J121" s="19">
        <v>0.79</v>
      </c>
      <c r="K121" s="16" t="s">
        <v>168</v>
      </c>
      <c r="L121" s="16" t="s">
        <v>20</v>
      </c>
      <c r="M121" s="16" t="s">
        <v>705</v>
      </c>
      <c r="N121" s="16" t="s">
        <v>706</v>
      </c>
    </row>
    <row r="122" spans="1:14" ht="20.100000000000001" customHeight="1" x14ac:dyDescent="0.25">
      <c r="A122" s="15" t="s">
        <v>707</v>
      </c>
      <c r="B122" s="16" t="s">
        <v>78</v>
      </c>
      <c r="C122" s="15">
        <v>8100501</v>
      </c>
      <c r="D122" s="16" t="s">
        <v>63</v>
      </c>
      <c r="E122" s="15" t="s">
        <v>708</v>
      </c>
      <c r="F122" s="21" t="str">
        <f>HYPERLINK("https://psearch.kitsapgov.com/webappa/index.html?parcelID=1426733&amp;Theme=Imagery","1426733")</f>
        <v>1426733</v>
      </c>
      <c r="G122" s="16" t="s">
        <v>709</v>
      </c>
      <c r="H122" s="17">
        <v>44072</v>
      </c>
      <c r="I122" s="18">
        <v>510000</v>
      </c>
      <c r="J122" s="19">
        <v>7.0000000000000007E-2</v>
      </c>
      <c r="K122" s="16" t="s">
        <v>93</v>
      </c>
      <c r="L122" s="16" t="s">
        <v>20</v>
      </c>
      <c r="M122" s="16" t="s">
        <v>710</v>
      </c>
      <c r="N122" s="16" t="s">
        <v>711</v>
      </c>
    </row>
    <row r="123" spans="1:14" ht="20.100000000000001" customHeight="1" x14ac:dyDescent="0.25">
      <c r="A123" s="15" t="s">
        <v>712</v>
      </c>
      <c r="B123" s="16" t="s">
        <v>98</v>
      </c>
      <c r="C123" s="15">
        <v>8400206</v>
      </c>
      <c r="D123" s="16" t="s">
        <v>99</v>
      </c>
      <c r="E123" s="15" t="s">
        <v>713</v>
      </c>
      <c r="F123" s="21" t="str">
        <f>HYPERLINK("https://psearch.kitsapgov.com/webappa/index.html?parcelID=2071223&amp;Theme=Imagery","2071223")</f>
        <v>2071223</v>
      </c>
      <c r="G123" s="16" t="s">
        <v>714</v>
      </c>
      <c r="H123" s="17">
        <v>44075</v>
      </c>
      <c r="I123" s="18">
        <v>17500</v>
      </c>
      <c r="J123" s="19">
        <v>0</v>
      </c>
      <c r="L123" s="16" t="s">
        <v>20</v>
      </c>
      <c r="M123" s="16" t="s">
        <v>715</v>
      </c>
      <c r="N123" s="16" t="s">
        <v>716</v>
      </c>
    </row>
    <row r="124" spans="1:14" ht="20.100000000000001" customHeight="1" x14ac:dyDescent="0.25">
      <c r="A124" s="15" t="s">
        <v>717</v>
      </c>
      <c r="B124" s="16" t="s">
        <v>105</v>
      </c>
      <c r="C124" s="15">
        <v>8400302</v>
      </c>
      <c r="D124" s="16" t="s">
        <v>397</v>
      </c>
      <c r="E124" s="15" t="s">
        <v>718</v>
      </c>
      <c r="F124" s="21" t="str">
        <f>HYPERLINK("https://psearch.kitsapgov.com/webappa/index.html?parcelID=2631075&amp;Theme=Imagery","2631075")</f>
        <v>2631075</v>
      </c>
      <c r="G124" s="16" t="s">
        <v>719</v>
      </c>
      <c r="H124" s="17">
        <v>44082</v>
      </c>
      <c r="I124" s="18">
        <v>225000</v>
      </c>
      <c r="J124" s="19">
        <v>0.93</v>
      </c>
      <c r="K124" s="16" t="s">
        <v>343</v>
      </c>
      <c r="L124" s="16" t="s">
        <v>20</v>
      </c>
      <c r="M124" s="16" t="s">
        <v>720</v>
      </c>
      <c r="N124" s="16" t="s">
        <v>721</v>
      </c>
    </row>
    <row r="125" spans="1:14" ht="20.100000000000001" customHeight="1" x14ac:dyDescent="0.25">
      <c r="A125" s="15" t="s">
        <v>722</v>
      </c>
      <c r="B125" s="16" t="s">
        <v>285</v>
      </c>
      <c r="C125" s="15">
        <v>8402307</v>
      </c>
      <c r="D125" s="16" t="s">
        <v>131</v>
      </c>
      <c r="E125" s="15" t="s">
        <v>723</v>
      </c>
      <c r="F125" s="21" t="str">
        <f>HYPERLINK("https://psearch.kitsapgov.com/webappa/index.html?parcelID=2647113&amp;Theme=Imagery","2647113")</f>
        <v>2647113</v>
      </c>
      <c r="G125" s="16" t="s">
        <v>724</v>
      </c>
      <c r="H125" s="17">
        <v>44083</v>
      </c>
      <c r="I125" s="18">
        <v>2190000</v>
      </c>
      <c r="J125" s="19">
        <v>0.8</v>
      </c>
      <c r="K125" s="16" t="s">
        <v>630</v>
      </c>
      <c r="L125" s="16" t="s">
        <v>20</v>
      </c>
      <c r="M125" s="16" t="s">
        <v>725</v>
      </c>
      <c r="N125" s="16" t="s">
        <v>726</v>
      </c>
    </row>
    <row r="126" spans="1:14" ht="20.100000000000001" customHeight="1" x14ac:dyDescent="0.25">
      <c r="A126" s="15" t="s">
        <v>727</v>
      </c>
      <c r="B126" s="16" t="s">
        <v>172</v>
      </c>
      <c r="C126" s="15">
        <v>9100541</v>
      </c>
      <c r="D126" s="16" t="s">
        <v>186</v>
      </c>
      <c r="E126" s="15" t="s">
        <v>728</v>
      </c>
      <c r="F126" s="21" t="str">
        <f>HYPERLINK("https://psearch.kitsapgov.com/webappa/index.html?parcelID=1142561&amp;Theme=Imagery","1142561")</f>
        <v>1142561</v>
      </c>
      <c r="G126" s="16" t="s">
        <v>729</v>
      </c>
      <c r="H126" s="17">
        <v>44083</v>
      </c>
      <c r="I126" s="18">
        <v>1409000</v>
      </c>
      <c r="J126" s="19">
        <v>0.62</v>
      </c>
      <c r="K126" s="16" t="s">
        <v>377</v>
      </c>
      <c r="L126" s="16" t="s">
        <v>20</v>
      </c>
      <c r="M126" s="16" t="s">
        <v>730</v>
      </c>
      <c r="N126" s="16" t="s">
        <v>731</v>
      </c>
    </row>
    <row r="127" spans="1:14" ht="20.100000000000001" customHeight="1" x14ac:dyDescent="0.25">
      <c r="A127" s="15" t="s">
        <v>732</v>
      </c>
      <c r="B127" s="16" t="s">
        <v>222</v>
      </c>
      <c r="C127" s="15">
        <v>8401104</v>
      </c>
      <c r="D127" s="16" t="s">
        <v>241</v>
      </c>
      <c r="E127" s="15" t="s">
        <v>733</v>
      </c>
      <c r="F127" s="21" t="str">
        <f>HYPERLINK("https://psearch.kitsapgov.com/webappa/index.html?parcelID=2282473&amp;Theme=Imagery","2282473")</f>
        <v>2282473</v>
      </c>
      <c r="G127" s="16" t="s">
        <v>734</v>
      </c>
      <c r="H127" s="17">
        <v>44084</v>
      </c>
      <c r="I127" s="18">
        <v>278000</v>
      </c>
      <c r="J127" s="19">
        <v>1.2</v>
      </c>
      <c r="K127" s="16" t="s">
        <v>82</v>
      </c>
      <c r="L127" s="16" t="s">
        <v>20</v>
      </c>
      <c r="M127" s="16" t="s">
        <v>735</v>
      </c>
      <c r="N127" s="16" t="s">
        <v>736</v>
      </c>
    </row>
    <row r="128" spans="1:14" ht="20.100000000000001" customHeight="1" x14ac:dyDescent="0.25">
      <c r="A128" s="15" t="s">
        <v>737</v>
      </c>
      <c r="B128" s="16" t="s">
        <v>98</v>
      </c>
      <c r="C128" s="15">
        <v>8400206</v>
      </c>
      <c r="D128" s="16" t="s">
        <v>99</v>
      </c>
      <c r="E128" s="15" t="s">
        <v>738</v>
      </c>
      <c r="F128" s="21" t="str">
        <f>HYPERLINK("https://psearch.kitsapgov.com/webappa/index.html?parcelID=2071918&amp;Theme=Imagery","2071918")</f>
        <v>2071918</v>
      </c>
      <c r="G128" s="16" t="s">
        <v>486</v>
      </c>
      <c r="H128" s="17">
        <v>44084</v>
      </c>
      <c r="I128" s="18">
        <v>45000</v>
      </c>
      <c r="J128" s="19">
        <v>0</v>
      </c>
      <c r="L128" s="16" t="s">
        <v>20</v>
      </c>
      <c r="M128" s="16" t="s">
        <v>739</v>
      </c>
      <c r="N128" s="16" t="s">
        <v>740</v>
      </c>
    </row>
    <row r="129" spans="1:14" ht="20.100000000000001" customHeight="1" x14ac:dyDescent="0.25">
      <c r="A129" s="15" t="s">
        <v>741</v>
      </c>
      <c r="B129" s="16" t="s">
        <v>16</v>
      </c>
      <c r="C129" s="15">
        <v>8303601</v>
      </c>
      <c r="D129" s="16" t="s">
        <v>25</v>
      </c>
      <c r="E129" s="15" t="s">
        <v>742</v>
      </c>
      <c r="F129" s="21" t="str">
        <f>HYPERLINK("https://psearch.kitsapgov.com/webappa/index.html?parcelID=2639946&amp;Theme=Imagery","2639946")</f>
        <v>2639946</v>
      </c>
      <c r="G129" s="16" t="s">
        <v>743</v>
      </c>
      <c r="H129" s="17">
        <v>44083</v>
      </c>
      <c r="I129" s="18">
        <v>272000</v>
      </c>
      <c r="J129" s="19">
        <v>0</v>
      </c>
      <c r="L129" s="16" t="s">
        <v>20</v>
      </c>
      <c r="M129" s="16" t="s">
        <v>59</v>
      </c>
      <c r="N129" s="16" t="s">
        <v>744</v>
      </c>
    </row>
    <row r="130" spans="1:14" ht="20.100000000000001" customHeight="1" x14ac:dyDescent="0.25">
      <c r="A130" s="15" t="s">
        <v>745</v>
      </c>
      <c r="B130" s="16" t="s">
        <v>48</v>
      </c>
      <c r="C130" s="15">
        <v>8100502</v>
      </c>
      <c r="D130" s="16" t="s">
        <v>142</v>
      </c>
      <c r="E130" s="15" t="s">
        <v>746</v>
      </c>
      <c r="F130" s="21" t="str">
        <f>HYPERLINK("https://psearch.kitsapgov.com/webappa/index.html?parcelID=1152347&amp;Theme=Imagery","1152347")</f>
        <v>1152347</v>
      </c>
      <c r="G130" s="16" t="s">
        <v>747</v>
      </c>
      <c r="H130" s="17">
        <v>44085</v>
      </c>
      <c r="I130" s="18">
        <v>9800000</v>
      </c>
      <c r="J130" s="19">
        <v>2.64</v>
      </c>
      <c r="K130" s="16" t="s">
        <v>145</v>
      </c>
      <c r="L130" s="16" t="s">
        <v>38</v>
      </c>
      <c r="M130" s="16" t="s">
        <v>748</v>
      </c>
      <c r="N130" s="16" t="s">
        <v>749</v>
      </c>
    </row>
    <row r="131" spans="1:14" ht="20.100000000000001" customHeight="1" x14ac:dyDescent="0.25">
      <c r="A131" s="15" t="s">
        <v>750</v>
      </c>
      <c r="B131" s="16" t="s">
        <v>16</v>
      </c>
      <c r="C131" s="15">
        <v>8303601</v>
      </c>
      <c r="D131" s="16" t="s">
        <v>25</v>
      </c>
      <c r="E131" s="15" t="s">
        <v>751</v>
      </c>
      <c r="F131" s="21" t="str">
        <f>HYPERLINK("https://psearch.kitsapgov.com/webappa/index.html?parcelID=2640043&amp;Theme=Imagery","2640043")</f>
        <v>2640043</v>
      </c>
      <c r="G131" s="16" t="s">
        <v>752</v>
      </c>
      <c r="H131" s="17">
        <v>44082</v>
      </c>
      <c r="I131" s="18">
        <v>275000</v>
      </c>
      <c r="J131" s="19">
        <v>0</v>
      </c>
      <c r="L131" s="16" t="s">
        <v>20</v>
      </c>
      <c r="M131" s="16" t="s">
        <v>59</v>
      </c>
      <c r="N131" s="16" t="s">
        <v>753</v>
      </c>
    </row>
    <row r="132" spans="1:14" ht="20.100000000000001" customHeight="1" x14ac:dyDescent="0.25">
      <c r="A132" s="15" t="s">
        <v>754</v>
      </c>
      <c r="B132" s="16" t="s">
        <v>98</v>
      </c>
      <c r="C132" s="15">
        <v>8303660</v>
      </c>
      <c r="D132" s="16" t="s">
        <v>252</v>
      </c>
      <c r="E132" s="15" t="s">
        <v>755</v>
      </c>
      <c r="F132" s="21" t="str">
        <f>HYPERLINK("https://psearch.kitsapgov.com/webappa/index.html?parcelID=1883669&amp;Theme=Imagery","1883669")</f>
        <v>1883669</v>
      </c>
      <c r="G132" s="16" t="s">
        <v>756</v>
      </c>
      <c r="H132" s="17">
        <v>44067</v>
      </c>
      <c r="I132" s="18">
        <v>61733</v>
      </c>
      <c r="J132" s="19">
        <v>0</v>
      </c>
      <c r="L132" s="16" t="s">
        <v>94</v>
      </c>
      <c r="M132" s="16" t="s">
        <v>757</v>
      </c>
      <c r="N132" s="16" t="s">
        <v>758</v>
      </c>
    </row>
    <row r="133" spans="1:14" ht="20.100000000000001" customHeight="1" x14ac:dyDescent="0.25">
      <c r="A133" s="15" t="s">
        <v>759</v>
      </c>
      <c r="B133" s="16" t="s">
        <v>512</v>
      </c>
      <c r="C133" s="15">
        <v>9400203</v>
      </c>
      <c r="D133" s="16" t="s">
        <v>49</v>
      </c>
      <c r="E133" s="15" t="s">
        <v>760</v>
      </c>
      <c r="F133" s="21" t="str">
        <f>HYPERLINK("https://psearch.kitsapgov.com/webappa/index.html?parcelID=1979004&amp;Theme=Imagery","1979004")</f>
        <v>1979004</v>
      </c>
      <c r="G133" s="16" t="s">
        <v>761</v>
      </c>
      <c r="H133" s="17">
        <v>44091</v>
      </c>
      <c r="I133" s="18">
        <v>6800000</v>
      </c>
      <c r="J133" s="19">
        <v>2.99</v>
      </c>
      <c r="K133" s="16" t="s">
        <v>115</v>
      </c>
      <c r="L133" s="16" t="s">
        <v>38</v>
      </c>
      <c r="M133" s="16" t="s">
        <v>762</v>
      </c>
      <c r="N133" s="16" t="s">
        <v>763</v>
      </c>
    </row>
    <row r="134" spans="1:14" ht="20.100000000000001" customHeight="1" x14ac:dyDescent="0.25">
      <c r="A134" s="15" t="s">
        <v>764</v>
      </c>
      <c r="B134" s="16" t="s">
        <v>765</v>
      </c>
      <c r="C134" s="15">
        <v>9400203</v>
      </c>
      <c r="D134" s="16" t="s">
        <v>49</v>
      </c>
      <c r="E134" s="15" t="s">
        <v>766</v>
      </c>
      <c r="F134" s="21" t="str">
        <f>HYPERLINK("https://psearch.kitsapgov.com/webappa/index.html?parcelID=1979012&amp;Theme=Imagery","1979012")</f>
        <v>1979012</v>
      </c>
      <c r="G134" s="16" t="s">
        <v>767</v>
      </c>
      <c r="H134" s="17">
        <v>44091</v>
      </c>
      <c r="I134" s="18">
        <v>4600000</v>
      </c>
      <c r="J134" s="19">
        <v>2.98</v>
      </c>
      <c r="K134" s="16" t="s">
        <v>115</v>
      </c>
      <c r="L134" s="16" t="s">
        <v>38</v>
      </c>
      <c r="M134" s="16" t="s">
        <v>768</v>
      </c>
      <c r="N134" s="16" t="s">
        <v>769</v>
      </c>
    </row>
    <row r="135" spans="1:14" ht="20.100000000000001" customHeight="1" x14ac:dyDescent="0.25">
      <c r="A135" s="15" t="s">
        <v>770</v>
      </c>
      <c r="B135" s="16" t="s">
        <v>202</v>
      </c>
      <c r="C135" s="15">
        <v>8100501</v>
      </c>
      <c r="D135" s="16" t="s">
        <v>63</v>
      </c>
      <c r="E135" s="15" t="s">
        <v>771</v>
      </c>
      <c r="F135" s="21" t="str">
        <f>HYPERLINK("https://psearch.kitsapgov.com/webappa/index.html?parcelID=1429158&amp;Theme=Imagery","1429158")</f>
        <v>1429158</v>
      </c>
      <c r="G135" s="16" t="s">
        <v>772</v>
      </c>
      <c r="H135" s="17">
        <v>44089</v>
      </c>
      <c r="I135" s="18">
        <v>590000</v>
      </c>
      <c r="J135" s="19">
        <v>0.26</v>
      </c>
      <c r="K135" s="16" t="s">
        <v>773</v>
      </c>
      <c r="L135" s="16" t="s">
        <v>190</v>
      </c>
      <c r="M135" s="16" t="s">
        <v>774</v>
      </c>
      <c r="N135" s="16" t="s">
        <v>775</v>
      </c>
    </row>
    <row r="136" spans="1:14" ht="20.100000000000001" customHeight="1" x14ac:dyDescent="0.25">
      <c r="A136" s="15" t="s">
        <v>776</v>
      </c>
      <c r="B136" s="16" t="s">
        <v>70</v>
      </c>
      <c r="C136" s="15">
        <v>8100502</v>
      </c>
      <c r="D136" s="16" t="s">
        <v>142</v>
      </c>
      <c r="E136" s="15" t="s">
        <v>777</v>
      </c>
      <c r="F136" s="21" t="str">
        <f>HYPERLINK("https://psearch.kitsapgov.com/webappa/index.html?parcelID=2632727&amp;Theme=Imagery","2632727")</f>
        <v>2632727</v>
      </c>
      <c r="G136" s="16" t="s">
        <v>388</v>
      </c>
      <c r="H136" s="17">
        <v>44099</v>
      </c>
      <c r="I136" s="18">
        <v>1100000</v>
      </c>
      <c r="J136" s="19">
        <v>1.41</v>
      </c>
      <c r="K136" s="16" t="s">
        <v>145</v>
      </c>
      <c r="L136" s="16" t="s">
        <v>20</v>
      </c>
      <c r="M136" s="16" t="s">
        <v>389</v>
      </c>
      <c r="N136" s="16" t="s">
        <v>778</v>
      </c>
    </row>
    <row r="137" spans="1:14" ht="20.100000000000001" customHeight="1" x14ac:dyDescent="0.25">
      <c r="A137" s="15" t="s">
        <v>779</v>
      </c>
      <c r="B137" s="16" t="s">
        <v>98</v>
      </c>
      <c r="C137" s="15">
        <v>8400206</v>
      </c>
      <c r="D137" s="16" t="s">
        <v>99</v>
      </c>
      <c r="E137" s="15" t="s">
        <v>780</v>
      </c>
      <c r="F137" s="21" t="str">
        <f>HYPERLINK("https://psearch.kitsapgov.com/webappa/index.html?parcelID=2071595&amp;Theme=Imagery","2071595")</f>
        <v>2071595</v>
      </c>
      <c r="G137" s="16" t="s">
        <v>337</v>
      </c>
      <c r="H137" s="17">
        <v>44102</v>
      </c>
      <c r="I137" s="18">
        <v>45000</v>
      </c>
      <c r="J137" s="19">
        <v>0</v>
      </c>
      <c r="L137" s="16" t="s">
        <v>20</v>
      </c>
      <c r="M137" s="16" t="s">
        <v>781</v>
      </c>
      <c r="N137" s="16" t="s">
        <v>782</v>
      </c>
    </row>
    <row r="138" spans="1:14" ht="20.100000000000001" customHeight="1" x14ac:dyDescent="0.25">
      <c r="A138" s="15" t="s">
        <v>783</v>
      </c>
      <c r="B138" s="16" t="s">
        <v>98</v>
      </c>
      <c r="C138" s="15">
        <v>8400206</v>
      </c>
      <c r="D138" s="16" t="s">
        <v>99</v>
      </c>
      <c r="E138" s="15" t="s">
        <v>784</v>
      </c>
      <c r="F138" s="21" t="str">
        <f>HYPERLINK("https://psearch.kitsapgov.com/webappa/index.html?parcelID=2071488&amp;Theme=Imagery","2071488")</f>
        <v>2071488</v>
      </c>
      <c r="G138" s="16" t="s">
        <v>486</v>
      </c>
      <c r="H138" s="17">
        <v>44098</v>
      </c>
      <c r="I138" s="18">
        <v>48000</v>
      </c>
      <c r="J138" s="19">
        <v>0</v>
      </c>
      <c r="L138" s="16" t="s">
        <v>20</v>
      </c>
      <c r="M138" s="16" t="s">
        <v>785</v>
      </c>
      <c r="N138" s="16" t="s">
        <v>786</v>
      </c>
    </row>
    <row r="139" spans="1:14" ht="20.100000000000001" customHeight="1" x14ac:dyDescent="0.25">
      <c r="A139" s="15" t="s">
        <v>787</v>
      </c>
      <c r="B139" s="16" t="s">
        <v>533</v>
      </c>
      <c r="C139" s="15">
        <v>9100541</v>
      </c>
      <c r="D139" s="16" t="s">
        <v>186</v>
      </c>
      <c r="E139" s="15" t="s">
        <v>788</v>
      </c>
      <c r="F139" s="21" t="str">
        <f>HYPERLINK("https://psearch.kitsapgov.com/webappa/index.html?parcelID=1451319&amp;Theme=Imagery","1451319")</f>
        <v>1451319</v>
      </c>
      <c r="G139" s="16" t="s">
        <v>789</v>
      </c>
      <c r="H139" s="17">
        <v>44099</v>
      </c>
      <c r="I139" s="18">
        <v>582000</v>
      </c>
      <c r="J139" s="19">
        <v>0.18</v>
      </c>
      <c r="K139" s="16" t="s">
        <v>377</v>
      </c>
      <c r="L139" s="16" t="s">
        <v>20</v>
      </c>
      <c r="M139" s="16" t="s">
        <v>790</v>
      </c>
      <c r="N139" s="16" t="s">
        <v>791</v>
      </c>
    </row>
    <row r="140" spans="1:14" ht="20.100000000000001" customHeight="1" x14ac:dyDescent="0.25">
      <c r="A140" s="15" t="s">
        <v>792</v>
      </c>
      <c r="B140" s="16" t="s">
        <v>793</v>
      </c>
      <c r="C140" s="15">
        <v>8100502</v>
      </c>
      <c r="D140" s="16" t="s">
        <v>142</v>
      </c>
      <c r="E140" s="15" t="s">
        <v>794</v>
      </c>
      <c r="F140" s="21" t="str">
        <f>HYPERLINK("https://psearch.kitsapgov.com/webappa/index.html?parcelID=1157213&amp;Theme=Imagery","1157213")</f>
        <v>1157213</v>
      </c>
      <c r="G140" s="16" t="s">
        <v>795</v>
      </c>
      <c r="H140" s="17">
        <v>44092</v>
      </c>
      <c r="I140" s="18">
        <v>1600000</v>
      </c>
      <c r="J140" s="19">
        <v>2.57</v>
      </c>
      <c r="K140" s="16" t="s">
        <v>145</v>
      </c>
      <c r="L140" s="16" t="s">
        <v>38</v>
      </c>
      <c r="M140" s="16" t="s">
        <v>796</v>
      </c>
      <c r="N140" s="16" t="s">
        <v>797</v>
      </c>
    </row>
    <row r="141" spans="1:14" ht="20.100000000000001" customHeight="1" x14ac:dyDescent="0.25">
      <c r="A141" s="15" t="s">
        <v>798</v>
      </c>
      <c r="B141" s="16" t="s">
        <v>105</v>
      </c>
      <c r="C141" s="15">
        <v>8100504</v>
      </c>
      <c r="D141" s="16" t="s">
        <v>210</v>
      </c>
      <c r="E141" s="15" t="s">
        <v>799</v>
      </c>
      <c r="F141" s="21" t="str">
        <f>HYPERLINK("https://psearch.kitsapgov.com/webappa/index.html?parcelID=1160738&amp;Theme=Imagery","1160738")</f>
        <v>1160738</v>
      </c>
      <c r="G141" s="16" t="s">
        <v>800</v>
      </c>
      <c r="H141" s="17">
        <v>44088</v>
      </c>
      <c r="I141" s="18">
        <v>2500</v>
      </c>
      <c r="J141" s="19">
        <v>0.04</v>
      </c>
      <c r="K141" s="16" t="s">
        <v>37</v>
      </c>
      <c r="L141" s="16" t="s">
        <v>94</v>
      </c>
      <c r="M141" s="16" t="s">
        <v>801</v>
      </c>
      <c r="N141" s="16" t="s">
        <v>802</v>
      </c>
    </row>
    <row r="142" spans="1:14" ht="20.100000000000001" customHeight="1" x14ac:dyDescent="0.25">
      <c r="A142" s="15" t="s">
        <v>803</v>
      </c>
      <c r="B142" s="16" t="s">
        <v>229</v>
      </c>
      <c r="C142" s="15">
        <v>9402390</v>
      </c>
      <c r="D142" s="16" t="s">
        <v>173</v>
      </c>
      <c r="E142" s="15" t="s">
        <v>230</v>
      </c>
      <c r="F142" s="21" t="str">
        <f>HYPERLINK("https://psearch.kitsapgov.com/webappa/index.html?parcelID=1033604&amp;Theme=Imagery","1033604")</f>
        <v>1033604</v>
      </c>
      <c r="G142" s="16" t="s">
        <v>231</v>
      </c>
      <c r="H142" s="17">
        <v>44111</v>
      </c>
      <c r="I142" s="18">
        <v>4300000</v>
      </c>
      <c r="J142" s="19">
        <v>2.09</v>
      </c>
      <c r="K142" s="16" t="s">
        <v>176</v>
      </c>
      <c r="L142" s="16" t="s">
        <v>38</v>
      </c>
      <c r="M142" s="16" t="s">
        <v>804</v>
      </c>
      <c r="N142" s="16" t="s">
        <v>805</v>
      </c>
    </row>
    <row r="143" spans="1:14" ht="20.100000000000001" customHeight="1" x14ac:dyDescent="0.25">
      <c r="A143" s="15" t="s">
        <v>806</v>
      </c>
      <c r="B143" s="16" t="s">
        <v>78</v>
      </c>
      <c r="C143" s="15">
        <v>8402307</v>
      </c>
      <c r="D143" s="16" t="s">
        <v>131</v>
      </c>
      <c r="E143" s="15" t="s">
        <v>807</v>
      </c>
      <c r="F143" s="21" t="str">
        <f>HYPERLINK("https://psearch.kitsapgov.com/webappa/index.html?parcelID=1175041&amp;Theme=Imagery","1175041")</f>
        <v>1175041</v>
      </c>
      <c r="G143" s="16" t="s">
        <v>808</v>
      </c>
      <c r="H143" s="17">
        <v>44110</v>
      </c>
      <c r="I143" s="18">
        <v>250000</v>
      </c>
      <c r="J143" s="19">
        <v>0.68</v>
      </c>
      <c r="K143" s="16" t="s">
        <v>515</v>
      </c>
      <c r="L143" s="16" t="s">
        <v>38</v>
      </c>
      <c r="M143" s="16" t="s">
        <v>809</v>
      </c>
      <c r="N143" s="16" t="s">
        <v>810</v>
      </c>
    </row>
    <row r="144" spans="1:14" ht="20.100000000000001" customHeight="1" x14ac:dyDescent="0.25">
      <c r="A144" s="15" t="s">
        <v>811</v>
      </c>
      <c r="B144" s="16" t="s">
        <v>533</v>
      </c>
      <c r="C144" s="15">
        <v>9100541</v>
      </c>
      <c r="D144" s="16" t="s">
        <v>186</v>
      </c>
      <c r="E144" s="15" t="s">
        <v>812</v>
      </c>
      <c r="F144" s="21" t="str">
        <f>HYPERLINK("https://psearch.kitsapgov.com/webappa/index.html?parcelID=1142413&amp;Theme=Imagery","1142413")</f>
        <v>1142413</v>
      </c>
      <c r="G144" s="16" t="s">
        <v>813</v>
      </c>
      <c r="H144" s="17">
        <v>44117</v>
      </c>
      <c r="I144" s="18">
        <v>577500</v>
      </c>
      <c r="J144" s="19">
        <v>0.16</v>
      </c>
      <c r="K144" s="16" t="s">
        <v>814</v>
      </c>
      <c r="L144" s="16" t="s">
        <v>20</v>
      </c>
      <c r="M144" s="16" t="s">
        <v>815</v>
      </c>
      <c r="N144" s="16" t="s">
        <v>816</v>
      </c>
    </row>
    <row r="145" spans="1:14" ht="20.100000000000001" customHeight="1" x14ac:dyDescent="0.25">
      <c r="A145" s="15" t="s">
        <v>817</v>
      </c>
      <c r="B145" s="16" t="s">
        <v>62</v>
      </c>
      <c r="C145" s="15">
        <v>9402405</v>
      </c>
      <c r="D145" s="16" t="s">
        <v>818</v>
      </c>
      <c r="E145" s="15" t="s">
        <v>819</v>
      </c>
      <c r="F145" s="21" t="str">
        <f>HYPERLINK("https://psearch.kitsapgov.com/webappa/index.html?parcelID=2243707&amp;Theme=Imagery","2243707")</f>
        <v>2243707</v>
      </c>
      <c r="G145" s="16" t="s">
        <v>820</v>
      </c>
      <c r="H145" s="17">
        <v>44117</v>
      </c>
      <c r="I145" s="18">
        <v>125000</v>
      </c>
      <c r="J145" s="19">
        <v>0.2</v>
      </c>
      <c r="K145" s="16" t="s">
        <v>205</v>
      </c>
      <c r="L145" s="16" t="s">
        <v>20</v>
      </c>
      <c r="M145" s="16" t="s">
        <v>821</v>
      </c>
      <c r="N145" s="16" t="s">
        <v>822</v>
      </c>
    </row>
    <row r="146" spans="1:14" ht="20.100000000000001" customHeight="1" x14ac:dyDescent="0.25">
      <c r="A146" s="15" t="s">
        <v>823</v>
      </c>
      <c r="B146" s="16" t="s">
        <v>159</v>
      </c>
      <c r="C146" s="15">
        <v>8100501</v>
      </c>
      <c r="D146" s="16" t="s">
        <v>63</v>
      </c>
      <c r="E146" s="15" t="s">
        <v>824</v>
      </c>
      <c r="F146" s="21" t="str">
        <f>HYPERLINK("https://psearch.kitsapgov.com/webappa/index.html?parcelID=1426642&amp;Theme=Imagery","1426642")</f>
        <v>1426642</v>
      </c>
      <c r="G146" s="16" t="s">
        <v>825</v>
      </c>
      <c r="H146" s="17">
        <v>44124</v>
      </c>
      <c r="I146" s="18">
        <v>910000</v>
      </c>
      <c r="J146" s="19">
        <v>0.14000000000000001</v>
      </c>
      <c r="K146" s="16" t="s">
        <v>93</v>
      </c>
      <c r="L146" s="16" t="s">
        <v>20</v>
      </c>
      <c r="M146" s="16" t="s">
        <v>826</v>
      </c>
      <c r="N146" s="16" t="s">
        <v>827</v>
      </c>
    </row>
    <row r="147" spans="1:14" ht="20.100000000000001" customHeight="1" x14ac:dyDescent="0.25">
      <c r="A147" s="15" t="s">
        <v>828</v>
      </c>
      <c r="B147" s="16" t="s">
        <v>159</v>
      </c>
      <c r="C147" s="15">
        <v>8100505</v>
      </c>
      <c r="D147" s="16" t="s">
        <v>670</v>
      </c>
      <c r="E147" s="15" t="s">
        <v>829</v>
      </c>
      <c r="F147" s="21" t="str">
        <f>HYPERLINK("https://psearch.kitsapgov.com/webappa/index.html?parcelID=1496793&amp;Theme=Imagery","1496793")</f>
        <v>1496793</v>
      </c>
      <c r="G147" s="16" t="s">
        <v>830</v>
      </c>
      <c r="H147" s="17">
        <v>44109</v>
      </c>
      <c r="I147" s="18">
        <v>207000</v>
      </c>
      <c r="J147" s="19">
        <v>0.48</v>
      </c>
      <c r="K147" s="16" t="s">
        <v>673</v>
      </c>
      <c r="L147" s="16" t="s">
        <v>53</v>
      </c>
      <c r="M147" s="16" t="s">
        <v>831</v>
      </c>
      <c r="N147" s="16" t="s">
        <v>832</v>
      </c>
    </row>
    <row r="148" spans="1:14" ht="20.100000000000001" customHeight="1" x14ac:dyDescent="0.25">
      <c r="A148" s="15" t="s">
        <v>833</v>
      </c>
      <c r="B148" s="16" t="s">
        <v>834</v>
      </c>
      <c r="C148" s="15">
        <v>8401104</v>
      </c>
      <c r="D148" s="16" t="s">
        <v>241</v>
      </c>
      <c r="E148" s="15" t="s">
        <v>835</v>
      </c>
      <c r="F148" s="21" t="str">
        <f>HYPERLINK("https://psearch.kitsapgov.com/webappa/index.html?parcelID=1247519&amp;Theme=Imagery","1247519")</f>
        <v>1247519</v>
      </c>
      <c r="G148" s="16" t="s">
        <v>836</v>
      </c>
      <c r="H148" s="17">
        <v>44126</v>
      </c>
      <c r="I148" s="18">
        <v>250000</v>
      </c>
      <c r="J148" s="19">
        <v>0.96</v>
      </c>
      <c r="K148" s="16" t="s">
        <v>492</v>
      </c>
      <c r="L148" s="16" t="s">
        <v>20</v>
      </c>
      <c r="M148" s="16" t="s">
        <v>837</v>
      </c>
      <c r="N148" s="16" t="s">
        <v>838</v>
      </c>
    </row>
    <row r="149" spans="1:14" ht="20.100000000000001" customHeight="1" x14ac:dyDescent="0.25">
      <c r="A149" s="15" t="s">
        <v>839</v>
      </c>
      <c r="B149" s="16" t="s">
        <v>153</v>
      </c>
      <c r="C149" s="15">
        <v>8100502</v>
      </c>
      <c r="D149" s="16" t="s">
        <v>142</v>
      </c>
      <c r="E149" s="15" t="s">
        <v>840</v>
      </c>
      <c r="F149" s="21" t="str">
        <f>HYPERLINK("https://psearch.kitsapgov.com/webappa/index.html?parcelID=2416022&amp;Theme=Imagery","2416022")</f>
        <v>2416022</v>
      </c>
      <c r="G149" s="16" t="s">
        <v>841</v>
      </c>
      <c r="H149" s="17">
        <v>44132</v>
      </c>
      <c r="I149" s="18">
        <v>1331000</v>
      </c>
      <c r="J149" s="19">
        <v>0.66</v>
      </c>
      <c r="K149" s="16" t="s">
        <v>168</v>
      </c>
      <c r="L149" s="16" t="s">
        <v>20</v>
      </c>
      <c r="M149" s="16" t="s">
        <v>842</v>
      </c>
      <c r="N149" s="16" t="s">
        <v>843</v>
      </c>
    </row>
    <row r="150" spans="1:14" ht="20.100000000000001" customHeight="1" x14ac:dyDescent="0.25">
      <c r="A150" s="15" t="s">
        <v>844</v>
      </c>
      <c r="B150" s="16" t="s">
        <v>222</v>
      </c>
      <c r="C150" s="15">
        <v>8400302</v>
      </c>
      <c r="D150" s="16" t="s">
        <v>397</v>
      </c>
      <c r="E150" s="15" t="s">
        <v>845</v>
      </c>
      <c r="F150" s="21" t="str">
        <f>HYPERLINK("https://psearch.kitsapgov.com/webappa/index.html?parcelID=1408558&amp;Theme=Imagery","1408558")</f>
        <v>1408558</v>
      </c>
      <c r="G150" s="16" t="s">
        <v>846</v>
      </c>
      <c r="H150" s="17">
        <v>44130</v>
      </c>
      <c r="I150" s="18">
        <v>1682500</v>
      </c>
      <c r="J150" s="19">
        <v>1.43</v>
      </c>
      <c r="K150" s="16" t="s">
        <v>343</v>
      </c>
      <c r="L150" s="16" t="s">
        <v>38</v>
      </c>
      <c r="M150" s="16" t="s">
        <v>847</v>
      </c>
      <c r="N150" s="16" t="s">
        <v>848</v>
      </c>
    </row>
    <row r="151" spans="1:14" ht="20.100000000000001" customHeight="1" x14ac:dyDescent="0.25">
      <c r="A151" s="15" t="s">
        <v>849</v>
      </c>
      <c r="B151" s="16" t="s">
        <v>850</v>
      </c>
      <c r="C151" s="15">
        <v>8400201</v>
      </c>
      <c r="D151" s="16" t="s">
        <v>496</v>
      </c>
      <c r="E151" s="15" t="s">
        <v>851</v>
      </c>
      <c r="F151" s="21" t="str">
        <f>HYPERLINK("https://psearch.kitsapgov.com/webappa/index.html?parcelID=1342583&amp;Theme=Imagery","1342583")</f>
        <v>1342583</v>
      </c>
      <c r="G151" s="16" t="s">
        <v>852</v>
      </c>
      <c r="H151" s="17">
        <v>44113</v>
      </c>
      <c r="I151" s="18">
        <v>449000</v>
      </c>
      <c r="J151" s="19">
        <v>0.4</v>
      </c>
      <c r="K151" s="16" t="s">
        <v>443</v>
      </c>
      <c r="L151" s="16" t="s">
        <v>20</v>
      </c>
      <c r="M151" s="16" t="s">
        <v>853</v>
      </c>
      <c r="N151" s="16" t="s">
        <v>854</v>
      </c>
    </row>
    <row r="152" spans="1:14" ht="20.100000000000001" customHeight="1" x14ac:dyDescent="0.25">
      <c r="A152" s="15" t="s">
        <v>855</v>
      </c>
      <c r="B152" s="16" t="s">
        <v>42</v>
      </c>
      <c r="C152" s="15">
        <v>8402307</v>
      </c>
      <c r="D152" s="16" t="s">
        <v>131</v>
      </c>
      <c r="E152" s="15" t="s">
        <v>856</v>
      </c>
      <c r="F152" s="21" t="str">
        <f>HYPERLINK("https://psearch.kitsapgov.com/webappa/index.html?parcelID=2373074&amp;Theme=Imagery","2373074")</f>
        <v>2373074</v>
      </c>
      <c r="G152" s="16" t="s">
        <v>857</v>
      </c>
      <c r="H152" s="17">
        <v>44125</v>
      </c>
      <c r="I152" s="18">
        <v>2800000</v>
      </c>
      <c r="J152" s="19">
        <v>1.1200000000000001</v>
      </c>
      <c r="K152" s="16" t="s">
        <v>276</v>
      </c>
      <c r="L152" s="16" t="s">
        <v>20</v>
      </c>
      <c r="M152" s="16" t="s">
        <v>858</v>
      </c>
      <c r="N152" s="16" t="s">
        <v>859</v>
      </c>
    </row>
    <row r="153" spans="1:14" ht="20.100000000000001" customHeight="1" x14ac:dyDescent="0.25">
      <c r="A153" s="15" t="s">
        <v>860</v>
      </c>
      <c r="B153" s="16" t="s">
        <v>185</v>
      </c>
      <c r="C153" s="15">
        <v>9100541</v>
      </c>
      <c r="D153" s="16" t="s">
        <v>186</v>
      </c>
      <c r="E153" s="15" t="s">
        <v>861</v>
      </c>
      <c r="F153" s="21" t="str">
        <f>HYPERLINK("https://psearch.kitsapgov.com/webappa/index.html?parcelID=1423177&amp;Theme=Imagery","1423177")</f>
        <v>1423177</v>
      </c>
      <c r="G153" s="16" t="s">
        <v>862</v>
      </c>
      <c r="H153" s="17">
        <v>44132</v>
      </c>
      <c r="I153" s="18">
        <v>850000</v>
      </c>
      <c r="J153" s="19">
        <v>0.2</v>
      </c>
      <c r="K153" s="16" t="s">
        <v>863</v>
      </c>
      <c r="L153" s="16" t="s">
        <v>20</v>
      </c>
      <c r="M153" s="16" t="s">
        <v>864</v>
      </c>
      <c r="N153" s="16" t="s">
        <v>865</v>
      </c>
    </row>
    <row r="154" spans="1:14" ht="20.100000000000001" customHeight="1" x14ac:dyDescent="0.25">
      <c r="A154" s="15" t="s">
        <v>866</v>
      </c>
      <c r="B154" s="16" t="s">
        <v>159</v>
      </c>
      <c r="C154" s="15">
        <v>8402307</v>
      </c>
      <c r="D154" s="16" t="s">
        <v>131</v>
      </c>
      <c r="E154" s="15" t="s">
        <v>867</v>
      </c>
      <c r="F154" s="21" t="str">
        <f>HYPERLINK("https://psearch.kitsapgov.com/webappa/index.html?parcelID=1175009&amp;Theme=Imagery","1175009")</f>
        <v>1175009</v>
      </c>
      <c r="G154" s="16" t="s">
        <v>868</v>
      </c>
      <c r="H154" s="17">
        <v>44126</v>
      </c>
      <c r="I154" s="18">
        <v>162000</v>
      </c>
      <c r="J154" s="19">
        <v>0.3</v>
      </c>
      <c r="K154" s="16" t="s">
        <v>515</v>
      </c>
      <c r="L154" s="16" t="s">
        <v>20</v>
      </c>
      <c r="M154" s="16" t="s">
        <v>869</v>
      </c>
      <c r="N154" s="16" t="s">
        <v>870</v>
      </c>
    </row>
    <row r="155" spans="1:14" ht="20.100000000000001" customHeight="1" x14ac:dyDescent="0.25">
      <c r="A155" s="15" t="s">
        <v>871</v>
      </c>
      <c r="B155" s="16" t="s">
        <v>765</v>
      </c>
      <c r="C155" s="15">
        <v>9402390</v>
      </c>
      <c r="D155" s="16" t="s">
        <v>173</v>
      </c>
      <c r="E155" s="15" t="s">
        <v>872</v>
      </c>
      <c r="F155" s="21" t="str">
        <f>HYPERLINK("https://psearch.kitsapgov.com/webappa/index.html?parcelID=2502771&amp;Theme=Imagery","2502771")</f>
        <v>2502771</v>
      </c>
      <c r="G155" s="16" t="s">
        <v>873</v>
      </c>
      <c r="H155" s="17">
        <v>44133</v>
      </c>
      <c r="I155" s="18">
        <v>10200000</v>
      </c>
      <c r="J155" s="19">
        <v>1.88</v>
      </c>
      <c r="K155" s="16" t="s">
        <v>874</v>
      </c>
      <c r="L155" s="16" t="s">
        <v>38</v>
      </c>
      <c r="M155" s="16" t="s">
        <v>875</v>
      </c>
      <c r="N155" s="16" t="s">
        <v>876</v>
      </c>
    </row>
    <row r="156" spans="1:14" ht="20.100000000000001" customHeight="1" x14ac:dyDescent="0.25">
      <c r="A156" s="15" t="s">
        <v>877</v>
      </c>
      <c r="B156" s="16" t="s">
        <v>105</v>
      </c>
      <c r="C156" s="15">
        <v>8402307</v>
      </c>
      <c r="D156" s="16" t="s">
        <v>131</v>
      </c>
      <c r="E156" s="15" t="s">
        <v>878</v>
      </c>
      <c r="F156" s="21" t="str">
        <f>HYPERLINK("https://psearch.kitsapgov.com/webappa/index.html?parcelID=1504240&amp;Theme=Imagery","1504240")</f>
        <v>1504240</v>
      </c>
      <c r="G156" s="16" t="s">
        <v>879</v>
      </c>
      <c r="H156" s="17">
        <v>44131</v>
      </c>
      <c r="I156" s="18">
        <v>71000</v>
      </c>
      <c r="J156" s="19">
        <v>0.13</v>
      </c>
      <c r="K156" s="16" t="s">
        <v>880</v>
      </c>
      <c r="L156" s="16" t="s">
        <v>20</v>
      </c>
      <c r="M156" s="16" t="s">
        <v>881</v>
      </c>
      <c r="N156" s="16" t="s">
        <v>882</v>
      </c>
    </row>
    <row r="157" spans="1:14" ht="20.100000000000001" customHeight="1" x14ac:dyDescent="0.25">
      <c r="A157" s="15" t="s">
        <v>883</v>
      </c>
      <c r="B157" s="16" t="s">
        <v>185</v>
      </c>
      <c r="C157" s="15">
        <v>9400204</v>
      </c>
      <c r="D157" s="16" t="s">
        <v>884</v>
      </c>
      <c r="E157" s="15" t="s">
        <v>885</v>
      </c>
      <c r="F157" s="21" t="str">
        <f>HYPERLINK("https://psearch.kitsapgov.com/webappa/index.html?parcelID=1609940&amp;Theme=Imagery","1609940")</f>
        <v>1609940</v>
      </c>
      <c r="G157" s="16" t="s">
        <v>886</v>
      </c>
      <c r="H157" s="17">
        <v>44127</v>
      </c>
      <c r="I157" s="18">
        <v>636000</v>
      </c>
      <c r="J157" s="19">
        <v>0.28000000000000003</v>
      </c>
      <c r="K157" s="16" t="s">
        <v>887</v>
      </c>
      <c r="L157" s="16" t="s">
        <v>20</v>
      </c>
      <c r="M157" s="16" t="s">
        <v>888</v>
      </c>
      <c r="N157" s="16" t="s">
        <v>889</v>
      </c>
    </row>
    <row r="158" spans="1:14" ht="20.100000000000001" customHeight="1" x14ac:dyDescent="0.25">
      <c r="A158" s="15" t="s">
        <v>890</v>
      </c>
      <c r="B158" s="16" t="s">
        <v>159</v>
      </c>
      <c r="C158" s="15">
        <v>8400203</v>
      </c>
      <c r="D158" s="16" t="s">
        <v>353</v>
      </c>
      <c r="E158" s="15" t="s">
        <v>891</v>
      </c>
      <c r="F158" s="21" t="str">
        <f>HYPERLINK("https://psearch.kitsapgov.com/webappa/index.html?parcelID=2020220&amp;Theme=Imagery","2020220")</f>
        <v>2020220</v>
      </c>
      <c r="G158" s="16" t="s">
        <v>892</v>
      </c>
      <c r="H158" s="17">
        <v>44131</v>
      </c>
      <c r="I158" s="18">
        <v>1800000</v>
      </c>
      <c r="J158" s="19">
        <v>2.16</v>
      </c>
      <c r="K158" s="16" t="s">
        <v>356</v>
      </c>
      <c r="L158" s="16" t="s">
        <v>20</v>
      </c>
      <c r="M158" s="16" t="s">
        <v>893</v>
      </c>
      <c r="N158" s="16" t="s">
        <v>894</v>
      </c>
    </row>
    <row r="159" spans="1:14" ht="20.100000000000001" customHeight="1" x14ac:dyDescent="0.25">
      <c r="A159" s="15" t="s">
        <v>895</v>
      </c>
      <c r="B159" s="16" t="s">
        <v>78</v>
      </c>
      <c r="C159" s="15">
        <v>8303601</v>
      </c>
      <c r="D159" s="16" t="s">
        <v>25</v>
      </c>
      <c r="E159" s="15" t="s">
        <v>896</v>
      </c>
      <c r="F159" s="21" t="str">
        <f>HYPERLINK("https://psearch.kitsapgov.com/webappa/index.html?parcelID=1517903&amp;Theme=Imagery","1517903")</f>
        <v>1517903</v>
      </c>
      <c r="G159" s="16" t="s">
        <v>897</v>
      </c>
      <c r="H159" s="17">
        <v>44132</v>
      </c>
      <c r="I159" s="18">
        <v>1385000</v>
      </c>
      <c r="J159" s="19">
        <v>0.19</v>
      </c>
      <c r="K159" s="16" t="s">
        <v>421</v>
      </c>
      <c r="L159" s="16" t="s">
        <v>20</v>
      </c>
      <c r="M159" s="16" t="s">
        <v>898</v>
      </c>
      <c r="N159" s="16" t="s">
        <v>899</v>
      </c>
    </row>
    <row r="160" spans="1:14" ht="20.100000000000001" customHeight="1" x14ac:dyDescent="0.25">
      <c r="A160" s="15" t="s">
        <v>900</v>
      </c>
      <c r="B160" s="16" t="s">
        <v>901</v>
      </c>
      <c r="C160" s="15">
        <v>9303611</v>
      </c>
      <c r="D160" s="16" t="s">
        <v>902</v>
      </c>
      <c r="E160" s="15" t="s">
        <v>903</v>
      </c>
      <c r="F160" s="21" t="str">
        <f>HYPERLINK("https://psearch.kitsapgov.com/webappa/index.html?parcelID=1536630&amp;Theme=Imagery","1536630")</f>
        <v>1536630</v>
      </c>
      <c r="G160" s="16" t="s">
        <v>904</v>
      </c>
      <c r="H160" s="17">
        <v>44077</v>
      </c>
      <c r="I160" s="18">
        <v>1000</v>
      </c>
      <c r="J160" s="19">
        <v>5.63</v>
      </c>
      <c r="K160" s="16" t="s">
        <v>905</v>
      </c>
      <c r="L160" s="16" t="s">
        <v>631</v>
      </c>
      <c r="M160" s="16" t="s">
        <v>906</v>
      </c>
      <c r="N160" s="16" t="s">
        <v>907</v>
      </c>
    </row>
    <row r="161" spans="1:14" ht="20.100000000000001" customHeight="1" x14ac:dyDescent="0.25">
      <c r="A161" s="15" t="s">
        <v>908</v>
      </c>
      <c r="B161" s="16" t="s">
        <v>909</v>
      </c>
      <c r="C161" s="15">
        <v>9100591</v>
      </c>
      <c r="D161" s="16" t="s">
        <v>318</v>
      </c>
      <c r="E161" s="15" t="s">
        <v>910</v>
      </c>
      <c r="F161" s="21" t="str">
        <f>HYPERLINK("https://psearch.kitsapgov.com/webappa/index.html?parcelID=1129675&amp;Theme=Imagery","1129675")</f>
        <v>1129675</v>
      </c>
      <c r="G161" s="16" t="s">
        <v>911</v>
      </c>
      <c r="H161" s="17">
        <v>44139</v>
      </c>
      <c r="I161" s="18">
        <v>3150000</v>
      </c>
      <c r="J161" s="19">
        <v>7.91</v>
      </c>
      <c r="K161" s="16" t="s">
        <v>912</v>
      </c>
      <c r="L161" s="16" t="s">
        <v>20</v>
      </c>
      <c r="M161" s="16" t="s">
        <v>913</v>
      </c>
      <c r="N161" s="16" t="s">
        <v>914</v>
      </c>
    </row>
    <row r="162" spans="1:14" ht="20.100000000000001" customHeight="1" x14ac:dyDescent="0.25">
      <c r="A162" s="15" t="s">
        <v>915</v>
      </c>
      <c r="B162" s="16" t="s">
        <v>909</v>
      </c>
      <c r="C162" s="15">
        <v>9100592</v>
      </c>
      <c r="D162" s="16" t="s">
        <v>916</v>
      </c>
      <c r="E162" s="15" t="s">
        <v>917</v>
      </c>
      <c r="F162" s="21" t="str">
        <f>HYPERLINK("https://psearch.kitsapgov.com/webappa/index.html?parcelID=1182534&amp;Theme=Imagery","1182534")</f>
        <v>1182534</v>
      </c>
      <c r="G162" s="16" t="s">
        <v>918</v>
      </c>
      <c r="H162" s="17">
        <v>44139</v>
      </c>
      <c r="I162" s="18">
        <v>2000000</v>
      </c>
      <c r="J162" s="19">
        <v>8.2200000000000006</v>
      </c>
      <c r="K162" s="16" t="s">
        <v>919</v>
      </c>
      <c r="L162" s="16" t="s">
        <v>920</v>
      </c>
      <c r="M162" s="16" t="s">
        <v>921</v>
      </c>
      <c r="N162" s="16" t="s">
        <v>922</v>
      </c>
    </row>
    <row r="163" spans="1:14" ht="20.100000000000001" customHeight="1" x14ac:dyDescent="0.25">
      <c r="A163" s="15" t="s">
        <v>923</v>
      </c>
      <c r="B163" s="16" t="s">
        <v>130</v>
      </c>
      <c r="C163" s="15">
        <v>8401104</v>
      </c>
      <c r="D163" s="16" t="s">
        <v>241</v>
      </c>
      <c r="E163" s="15" t="s">
        <v>924</v>
      </c>
      <c r="F163" s="21" t="str">
        <f>HYPERLINK("https://psearch.kitsapgov.com/webappa/index.html?parcelID=2254548&amp;Theme=Imagery","2254548")</f>
        <v>2254548</v>
      </c>
      <c r="G163" s="16" t="s">
        <v>925</v>
      </c>
      <c r="H163" s="17">
        <v>44137</v>
      </c>
      <c r="I163" s="18">
        <v>3480000</v>
      </c>
      <c r="J163" s="19">
        <v>1.69</v>
      </c>
      <c r="K163" s="16" t="s">
        <v>679</v>
      </c>
      <c r="L163" s="16" t="s">
        <v>38</v>
      </c>
      <c r="M163" s="16" t="s">
        <v>926</v>
      </c>
      <c r="N163" s="16" t="s">
        <v>927</v>
      </c>
    </row>
    <row r="164" spans="1:14" ht="20.100000000000001" customHeight="1" x14ac:dyDescent="0.25">
      <c r="A164" s="15" t="s">
        <v>928</v>
      </c>
      <c r="B164" s="16" t="s">
        <v>48</v>
      </c>
      <c r="C164" s="15">
        <v>9401592</v>
      </c>
      <c r="D164" s="16" t="s">
        <v>696</v>
      </c>
      <c r="E164" s="15" t="s">
        <v>697</v>
      </c>
      <c r="F164" s="21" t="str">
        <f>HYPERLINK("https://psearch.kitsapgov.com/webappa/index.html?parcelID=1279496&amp;Theme=Imagery","1279496")</f>
        <v>1279496</v>
      </c>
      <c r="G164" s="16" t="s">
        <v>698</v>
      </c>
      <c r="H164" s="17">
        <v>44137</v>
      </c>
      <c r="I164" s="18">
        <v>1575000</v>
      </c>
      <c r="J164" s="19">
        <v>3.7</v>
      </c>
      <c r="K164" s="16" t="s">
        <v>699</v>
      </c>
      <c r="L164" s="16" t="s">
        <v>38</v>
      </c>
      <c r="M164" s="16" t="s">
        <v>929</v>
      </c>
      <c r="N164" s="16" t="s">
        <v>930</v>
      </c>
    </row>
    <row r="165" spans="1:14" ht="20.100000000000001" customHeight="1" x14ac:dyDescent="0.25">
      <c r="A165" s="15" t="s">
        <v>931</v>
      </c>
      <c r="B165" s="16" t="s">
        <v>98</v>
      </c>
      <c r="C165" s="15">
        <v>8400206</v>
      </c>
      <c r="D165" s="16" t="s">
        <v>99</v>
      </c>
      <c r="E165" s="15" t="s">
        <v>932</v>
      </c>
      <c r="F165" s="21" t="str">
        <f>HYPERLINK("https://psearch.kitsapgov.com/webappa/index.html?parcelID=2071728&amp;Theme=Imagery","2071728")</f>
        <v>2071728</v>
      </c>
      <c r="G165" s="16" t="s">
        <v>248</v>
      </c>
      <c r="H165" s="17">
        <v>44127</v>
      </c>
      <c r="I165" s="18">
        <v>12000</v>
      </c>
      <c r="J165" s="19">
        <v>0</v>
      </c>
      <c r="L165" s="16" t="s">
        <v>20</v>
      </c>
      <c r="M165" s="16" t="s">
        <v>933</v>
      </c>
      <c r="N165" s="16" t="s">
        <v>934</v>
      </c>
    </row>
    <row r="166" spans="1:14" ht="20.100000000000001" customHeight="1" x14ac:dyDescent="0.25">
      <c r="A166" s="15" t="s">
        <v>935</v>
      </c>
      <c r="B166" s="16" t="s">
        <v>24</v>
      </c>
      <c r="C166" s="15">
        <v>8100502</v>
      </c>
      <c r="D166" s="16" t="s">
        <v>142</v>
      </c>
      <c r="E166" s="15" t="s">
        <v>936</v>
      </c>
      <c r="F166" s="21" t="str">
        <f>HYPERLINK("https://psearch.kitsapgov.com/webappa/index.html?parcelID=1156710&amp;Theme=Imagery","1156710")</f>
        <v>1156710</v>
      </c>
      <c r="G166" s="16" t="s">
        <v>937</v>
      </c>
      <c r="H166" s="17">
        <v>44145</v>
      </c>
      <c r="I166" s="18">
        <v>214800</v>
      </c>
      <c r="J166" s="19">
        <v>0.16</v>
      </c>
      <c r="K166" s="16" t="s">
        <v>145</v>
      </c>
      <c r="L166" s="16" t="s">
        <v>20</v>
      </c>
      <c r="M166" s="16" t="s">
        <v>394</v>
      </c>
      <c r="N166" s="16" t="s">
        <v>192</v>
      </c>
    </row>
    <row r="167" spans="1:14" ht="20.100000000000001" customHeight="1" x14ac:dyDescent="0.25">
      <c r="A167" s="15" t="s">
        <v>938</v>
      </c>
      <c r="B167" s="16" t="s">
        <v>16</v>
      </c>
      <c r="C167" s="15">
        <v>8303601</v>
      </c>
      <c r="D167" s="16" t="s">
        <v>25</v>
      </c>
      <c r="E167" s="15" t="s">
        <v>939</v>
      </c>
      <c r="F167" s="21" t="str">
        <f>HYPERLINK("https://psearch.kitsapgov.com/webappa/index.html?parcelID=2639920&amp;Theme=Imagery","2639920")</f>
        <v>2639920</v>
      </c>
      <c r="G167" s="16" t="s">
        <v>940</v>
      </c>
      <c r="H167" s="17">
        <v>44144</v>
      </c>
      <c r="I167" s="18">
        <v>260000</v>
      </c>
      <c r="J167" s="19">
        <v>0</v>
      </c>
      <c r="L167" s="16" t="s">
        <v>20</v>
      </c>
      <c r="M167" s="16" t="s">
        <v>59</v>
      </c>
      <c r="N167" s="16" t="s">
        <v>467</v>
      </c>
    </row>
    <row r="168" spans="1:14" ht="20.100000000000001" customHeight="1" x14ac:dyDescent="0.25">
      <c r="A168" s="15" t="s">
        <v>941</v>
      </c>
      <c r="B168" s="16" t="s">
        <v>560</v>
      </c>
      <c r="C168" s="15">
        <v>8402405</v>
      </c>
      <c r="D168" s="16" t="s">
        <v>71</v>
      </c>
      <c r="E168" s="15" t="s">
        <v>942</v>
      </c>
      <c r="F168" s="21" t="str">
        <f>HYPERLINK("https://psearch.kitsapgov.com/webappa/index.html?parcelID=2455905&amp;Theme=Imagery","2455905")</f>
        <v>2455905</v>
      </c>
      <c r="G168" s="16" t="s">
        <v>943</v>
      </c>
      <c r="H168" s="17">
        <v>44152</v>
      </c>
      <c r="I168" s="18">
        <v>52000</v>
      </c>
      <c r="J168" s="19">
        <v>0</v>
      </c>
      <c r="L168" s="16" t="s">
        <v>944</v>
      </c>
      <c r="M168" s="16" t="s">
        <v>945</v>
      </c>
      <c r="N168" s="16" t="s">
        <v>946</v>
      </c>
    </row>
    <row r="169" spans="1:14" ht="20.100000000000001" customHeight="1" x14ac:dyDescent="0.25">
      <c r="A169" s="15" t="s">
        <v>947</v>
      </c>
      <c r="B169" s="16" t="s">
        <v>78</v>
      </c>
      <c r="C169" s="15">
        <v>8401102</v>
      </c>
      <c r="D169" s="16" t="s">
        <v>17</v>
      </c>
      <c r="E169" s="15" t="s">
        <v>948</v>
      </c>
      <c r="F169" s="21" t="str">
        <f>HYPERLINK("https://psearch.kitsapgov.com/webappa/index.html?parcelID=1245711&amp;Theme=Imagery","1245711")</f>
        <v>1245711</v>
      </c>
      <c r="G169" s="16" t="s">
        <v>949</v>
      </c>
      <c r="H169" s="17">
        <v>44154</v>
      </c>
      <c r="I169" s="18">
        <v>555000</v>
      </c>
      <c r="J169" s="19">
        <v>0.23</v>
      </c>
      <c r="K169" s="16" t="s">
        <v>308</v>
      </c>
      <c r="L169" s="16" t="s">
        <v>20</v>
      </c>
      <c r="M169" s="16" t="s">
        <v>950</v>
      </c>
      <c r="N169" s="16" t="s">
        <v>951</v>
      </c>
    </row>
    <row r="170" spans="1:14" ht="20.100000000000001" customHeight="1" x14ac:dyDescent="0.25">
      <c r="A170" s="15" t="s">
        <v>952</v>
      </c>
      <c r="B170" s="16" t="s">
        <v>285</v>
      </c>
      <c r="C170" s="15">
        <v>8402307</v>
      </c>
      <c r="D170" s="16" t="s">
        <v>131</v>
      </c>
      <c r="E170" s="15" t="s">
        <v>953</v>
      </c>
      <c r="F170" s="21" t="str">
        <f>HYPERLINK("https://psearch.kitsapgov.com/webappa/index.html?parcelID=1974682&amp;Theme=Imagery","1974682")</f>
        <v>1974682</v>
      </c>
      <c r="G170" s="16" t="s">
        <v>954</v>
      </c>
      <c r="H170" s="17">
        <v>44148</v>
      </c>
      <c r="I170" s="18">
        <v>2100000</v>
      </c>
      <c r="J170" s="19">
        <v>0.63</v>
      </c>
      <c r="K170" s="16" t="s">
        <v>368</v>
      </c>
      <c r="L170" s="16" t="s">
        <v>20</v>
      </c>
      <c r="M170" s="16" t="s">
        <v>955</v>
      </c>
      <c r="N170" s="16" t="s">
        <v>956</v>
      </c>
    </row>
    <row r="171" spans="1:14" ht="20.100000000000001" customHeight="1" x14ac:dyDescent="0.25">
      <c r="A171" s="15" t="s">
        <v>957</v>
      </c>
      <c r="B171" s="16" t="s">
        <v>105</v>
      </c>
      <c r="C171" s="15">
        <v>8400207</v>
      </c>
      <c r="D171" s="16" t="s">
        <v>298</v>
      </c>
      <c r="E171" s="15" t="s">
        <v>958</v>
      </c>
      <c r="F171" s="21" t="str">
        <f>HYPERLINK("https://psearch.kitsapgov.com/webappa/index.html?parcelID=2457091&amp;Theme=Imagery","2457091")</f>
        <v>2457091</v>
      </c>
      <c r="G171" s="16" t="s">
        <v>959</v>
      </c>
      <c r="H171" s="17">
        <v>44159</v>
      </c>
      <c r="I171" s="18">
        <v>340000</v>
      </c>
      <c r="J171" s="19">
        <v>1.34</v>
      </c>
      <c r="K171" s="16" t="s">
        <v>960</v>
      </c>
      <c r="L171" s="16" t="s">
        <v>20</v>
      </c>
      <c r="M171" s="16" t="s">
        <v>961</v>
      </c>
      <c r="N171" s="16" t="s">
        <v>962</v>
      </c>
    </row>
    <row r="172" spans="1:14" ht="20.100000000000001" customHeight="1" x14ac:dyDescent="0.25">
      <c r="A172" s="15" t="s">
        <v>963</v>
      </c>
      <c r="B172" s="16" t="s">
        <v>98</v>
      </c>
      <c r="C172" s="15">
        <v>8400206</v>
      </c>
      <c r="D172" s="16" t="s">
        <v>99</v>
      </c>
      <c r="E172" s="15" t="s">
        <v>964</v>
      </c>
      <c r="F172" s="21" t="str">
        <f>HYPERLINK("https://psearch.kitsapgov.com/webappa/index.html?parcelID=2071280&amp;Theme=Imagery","2071280")</f>
        <v>2071280</v>
      </c>
      <c r="G172" s="16" t="s">
        <v>337</v>
      </c>
      <c r="H172" s="17">
        <v>44160</v>
      </c>
      <c r="I172" s="18">
        <v>45000</v>
      </c>
      <c r="J172" s="19">
        <v>0</v>
      </c>
      <c r="L172" s="16" t="s">
        <v>20</v>
      </c>
      <c r="M172" s="16" t="s">
        <v>965</v>
      </c>
      <c r="N172" s="16" t="s">
        <v>966</v>
      </c>
    </row>
    <row r="173" spans="1:14" ht="20.100000000000001" customHeight="1" x14ac:dyDescent="0.25">
      <c r="A173" s="15" t="s">
        <v>967</v>
      </c>
      <c r="B173" s="16" t="s">
        <v>78</v>
      </c>
      <c r="C173" s="15">
        <v>8303601</v>
      </c>
      <c r="D173" s="16" t="s">
        <v>25</v>
      </c>
      <c r="E173" s="15" t="s">
        <v>968</v>
      </c>
      <c r="F173" s="21" t="str">
        <f>HYPERLINK("https://psearch.kitsapgov.com/webappa/index.html?parcelID=1310994&amp;Theme=Imagery","1310994")</f>
        <v>1310994</v>
      </c>
      <c r="G173" s="16" t="s">
        <v>969</v>
      </c>
      <c r="H173" s="17">
        <v>44157</v>
      </c>
      <c r="I173" s="18">
        <v>846000</v>
      </c>
      <c r="J173" s="19">
        <v>0.2</v>
      </c>
      <c r="K173" s="16" t="s">
        <v>421</v>
      </c>
      <c r="L173" s="16" t="s">
        <v>20</v>
      </c>
      <c r="M173" s="16" t="s">
        <v>970</v>
      </c>
      <c r="N173" s="16" t="s">
        <v>971</v>
      </c>
    </row>
    <row r="174" spans="1:14" ht="20.100000000000001" customHeight="1" x14ac:dyDescent="0.25">
      <c r="A174" s="15" t="s">
        <v>972</v>
      </c>
      <c r="B174" s="16" t="s">
        <v>262</v>
      </c>
      <c r="C174" s="15">
        <v>8400204</v>
      </c>
      <c r="D174" s="16" t="s">
        <v>194</v>
      </c>
      <c r="E174" s="15" t="s">
        <v>973</v>
      </c>
      <c r="F174" s="21" t="str">
        <f>HYPERLINK("https://psearch.kitsapgov.com/webappa/index.html?parcelID=2414357&amp;Theme=Imagery","2414357")</f>
        <v>2414357</v>
      </c>
      <c r="G174" s="16" t="s">
        <v>974</v>
      </c>
      <c r="H174" s="17">
        <v>44152</v>
      </c>
      <c r="I174" s="18">
        <v>90000</v>
      </c>
      <c r="J174" s="19">
        <v>1.03</v>
      </c>
      <c r="K174" s="16" t="s">
        <v>583</v>
      </c>
      <c r="L174" s="16" t="s">
        <v>38</v>
      </c>
      <c r="M174" s="16" t="s">
        <v>975</v>
      </c>
      <c r="N174" s="16" t="s">
        <v>976</v>
      </c>
    </row>
    <row r="175" spans="1:14" ht="20.100000000000001" customHeight="1" x14ac:dyDescent="0.25">
      <c r="A175" s="15" t="s">
        <v>977</v>
      </c>
      <c r="B175" s="16" t="s">
        <v>105</v>
      </c>
      <c r="C175" s="15">
        <v>8100502</v>
      </c>
      <c r="D175" s="16" t="s">
        <v>142</v>
      </c>
      <c r="E175" s="15" t="s">
        <v>978</v>
      </c>
      <c r="F175" s="21" t="str">
        <f>HYPERLINK("https://psearch.kitsapgov.com/webappa/index.html?parcelID=2166957&amp;Theme=Imagery","2166957")</f>
        <v>2166957</v>
      </c>
      <c r="G175" s="16" t="s">
        <v>979</v>
      </c>
      <c r="H175" s="17">
        <v>44166</v>
      </c>
      <c r="I175" s="18">
        <v>255000</v>
      </c>
      <c r="J175" s="19">
        <v>0.14000000000000001</v>
      </c>
      <c r="K175" s="16" t="s">
        <v>980</v>
      </c>
      <c r="L175" s="16" t="s">
        <v>20</v>
      </c>
      <c r="M175" s="16" t="s">
        <v>981</v>
      </c>
      <c r="N175" s="16" t="s">
        <v>982</v>
      </c>
    </row>
    <row r="176" spans="1:14" ht="20.100000000000001" customHeight="1" x14ac:dyDescent="0.25">
      <c r="A176" s="15" t="s">
        <v>983</v>
      </c>
      <c r="B176" s="16" t="s">
        <v>984</v>
      </c>
      <c r="C176" s="15">
        <v>8401104</v>
      </c>
      <c r="D176" s="16" t="s">
        <v>241</v>
      </c>
      <c r="E176" s="15" t="s">
        <v>985</v>
      </c>
      <c r="F176" s="21" t="str">
        <f>HYPERLINK("https://psearch.kitsapgov.com/webappa/index.html?parcelID=2507846&amp;Theme=Imagery","2507846")</f>
        <v>2507846</v>
      </c>
      <c r="G176" s="16" t="s">
        <v>986</v>
      </c>
      <c r="H176" s="17">
        <v>44167</v>
      </c>
      <c r="I176" s="18">
        <v>1000000</v>
      </c>
      <c r="J176" s="19">
        <v>0.14000000000000001</v>
      </c>
      <c r="K176" s="16" t="s">
        <v>492</v>
      </c>
      <c r="L176" s="16" t="s">
        <v>20</v>
      </c>
      <c r="M176" s="16" t="s">
        <v>987</v>
      </c>
      <c r="N176" s="16" t="s">
        <v>988</v>
      </c>
    </row>
    <row r="177" spans="1:14" ht="20.100000000000001" customHeight="1" x14ac:dyDescent="0.25">
      <c r="A177" s="15" t="s">
        <v>989</v>
      </c>
      <c r="B177" s="16" t="s">
        <v>159</v>
      </c>
      <c r="C177" s="15">
        <v>8401102</v>
      </c>
      <c r="D177" s="16" t="s">
        <v>17</v>
      </c>
      <c r="E177" s="15" t="s">
        <v>990</v>
      </c>
      <c r="F177" s="21" t="str">
        <f>HYPERLINK("https://psearch.kitsapgov.com/webappa/index.html?parcelID=2299469&amp;Theme=Imagery","2299469")</f>
        <v>2299469</v>
      </c>
      <c r="G177" s="16" t="s">
        <v>991</v>
      </c>
      <c r="H177" s="17">
        <v>44166</v>
      </c>
      <c r="I177" s="18">
        <v>200000</v>
      </c>
      <c r="J177" s="19">
        <v>0.04</v>
      </c>
      <c r="K177" s="16" t="s">
        <v>679</v>
      </c>
      <c r="L177" s="16" t="s">
        <v>38</v>
      </c>
      <c r="M177" s="16" t="s">
        <v>992</v>
      </c>
      <c r="N177" s="16" t="s">
        <v>993</v>
      </c>
    </row>
    <row r="178" spans="1:14" ht="20.100000000000001" customHeight="1" x14ac:dyDescent="0.25">
      <c r="A178" s="15" t="s">
        <v>994</v>
      </c>
      <c r="B178" s="16" t="s">
        <v>285</v>
      </c>
      <c r="C178" s="15">
        <v>8402307</v>
      </c>
      <c r="D178" s="16" t="s">
        <v>131</v>
      </c>
      <c r="E178" s="15" t="s">
        <v>995</v>
      </c>
      <c r="F178" s="21" t="str">
        <f>HYPERLINK("https://psearch.kitsapgov.com/webappa/index.html?parcelID=2300051&amp;Theme=Imagery","2300051")</f>
        <v>2300051</v>
      </c>
      <c r="G178" s="16" t="s">
        <v>996</v>
      </c>
      <c r="H178" s="17">
        <v>44173</v>
      </c>
      <c r="I178" s="18">
        <v>2500000</v>
      </c>
      <c r="J178" s="19">
        <v>0.87</v>
      </c>
      <c r="K178" s="16" t="s">
        <v>37</v>
      </c>
      <c r="L178" s="16" t="s">
        <v>20</v>
      </c>
      <c r="M178" s="16" t="s">
        <v>997</v>
      </c>
      <c r="N178" s="16" t="s">
        <v>998</v>
      </c>
    </row>
    <row r="179" spans="1:14" ht="20.100000000000001" customHeight="1" x14ac:dyDescent="0.25">
      <c r="A179" s="15" t="s">
        <v>999</v>
      </c>
      <c r="B179" s="16" t="s">
        <v>209</v>
      </c>
      <c r="C179" s="15">
        <v>8400202</v>
      </c>
      <c r="D179" s="16" t="s">
        <v>440</v>
      </c>
      <c r="E179" s="15" t="s">
        <v>1000</v>
      </c>
      <c r="F179" s="21" t="str">
        <f>HYPERLINK("https://psearch.kitsapgov.com/webappa/index.html?parcelID=1340926&amp;Theme=Imagery","1340926")</f>
        <v>1340926</v>
      </c>
      <c r="G179" s="16" t="s">
        <v>1001</v>
      </c>
      <c r="H179" s="17">
        <v>44167</v>
      </c>
      <c r="I179" s="18">
        <v>520000</v>
      </c>
      <c r="J179" s="19">
        <v>0.08</v>
      </c>
      <c r="K179" s="16" t="s">
        <v>443</v>
      </c>
      <c r="L179" s="16" t="s">
        <v>20</v>
      </c>
      <c r="M179" s="16" t="s">
        <v>1002</v>
      </c>
      <c r="N179" s="16" t="s">
        <v>1003</v>
      </c>
    </row>
    <row r="180" spans="1:14" ht="20.100000000000001" customHeight="1" x14ac:dyDescent="0.25">
      <c r="A180" s="15" t="s">
        <v>1004</v>
      </c>
      <c r="B180" s="16" t="s">
        <v>229</v>
      </c>
      <c r="C180" s="15">
        <v>9402390</v>
      </c>
      <c r="D180" s="16" t="s">
        <v>173</v>
      </c>
      <c r="E180" s="15" t="s">
        <v>1005</v>
      </c>
      <c r="F180" s="21" t="str">
        <f>HYPERLINK("https://psearch.kitsapgov.com/webappa/index.html?parcelID=2245033&amp;Theme=Imagery","2245033")</f>
        <v>2245033</v>
      </c>
      <c r="G180" s="16" t="s">
        <v>1006</v>
      </c>
      <c r="H180" s="17">
        <v>44180</v>
      </c>
      <c r="I180" s="18">
        <v>3285000</v>
      </c>
      <c r="J180" s="19">
        <v>1.58</v>
      </c>
      <c r="K180" s="16" t="s">
        <v>874</v>
      </c>
      <c r="L180" s="16" t="s">
        <v>38</v>
      </c>
      <c r="M180" s="16" t="s">
        <v>1007</v>
      </c>
      <c r="N180" s="16" t="s">
        <v>1008</v>
      </c>
    </row>
    <row r="181" spans="1:14" ht="20.100000000000001" customHeight="1" x14ac:dyDescent="0.25">
      <c r="A181" s="15" t="s">
        <v>1009</v>
      </c>
      <c r="B181" s="16" t="s">
        <v>78</v>
      </c>
      <c r="C181" s="15">
        <v>9100541</v>
      </c>
      <c r="D181" s="16" t="s">
        <v>186</v>
      </c>
      <c r="E181" s="15" t="s">
        <v>1010</v>
      </c>
      <c r="F181" s="21" t="str">
        <f>HYPERLINK("https://psearch.kitsapgov.com/webappa/index.html?parcelID=1429711&amp;Theme=Imagery","1429711")</f>
        <v>1429711</v>
      </c>
      <c r="G181" s="16" t="s">
        <v>1011</v>
      </c>
      <c r="H181" s="17">
        <v>44179</v>
      </c>
      <c r="I181" s="18">
        <v>295000</v>
      </c>
      <c r="J181" s="19">
        <v>0.14000000000000001</v>
      </c>
      <c r="K181" s="16" t="s">
        <v>145</v>
      </c>
      <c r="L181" s="16" t="s">
        <v>190</v>
      </c>
      <c r="M181" s="16" t="s">
        <v>1012</v>
      </c>
      <c r="N181" s="16" t="s">
        <v>1013</v>
      </c>
    </row>
    <row r="182" spans="1:14" ht="20.100000000000001" customHeight="1" x14ac:dyDescent="0.25">
      <c r="A182" s="15" t="s">
        <v>1014</v>
      </c>
      <c r="B182" s="16" t="s">
        <v>16</v>
      </c>
      <c r="C182" s="15">
        <v>8400207</v>
      </c>
      <c r="D182" s="16" t="s">
        <v>298</v>
      </c>
      <c r="E182" s="15" t="s">
        <v>1015</v>
      </c>
      <c r="F182" s="21" t="str">
        <f>HYPERLINK("https://psearch.kitsapgov.com/webappa/index.html?parcelID=2646255&amp;Theme=Imagery","2646255")</f>
        <v>2646255</v>
      </c>
      <c r="G182" s="16" t="s">
        <v>1016</v>
      </c>
      <c r="H182" s="17">
        <v>44176</v>
      </c>
      <c r="I182" s="18">
        <v>609000</v>
      </c>
      <c r="J182" s="19">
        <v>0.1</v>
      </c>
      <c r="K182" s="16" t="s">
        <v>1017</v>
      </c>
      <c r="L182" s="16" t="s">
        <v>38</v>
      </c>
      <c r="M182" s="16" t="s">
        <v>1018</v>
      </c>
      <c r="N182" s="16" t="s">
        <v>1019</v>
      </c>
    </row>
    <row r="183" spans="1:14" ht="20.100000000000001" customHeight="1" x14ac:dyDescent="0.25">
      <c r="A183" s="15" t="s">
        <v>1020</v>
      </c>
      <c r="B183" s="16" t="s">
        <v>292</v>
      </c>
      <c r="C183" s="15">
        <v>8100506</v>
      </c>
      <c r="D183" s="16" t="s">
        <v>286</v>
      </c>
      <c r="E183" s="15" t="s">
        <v>1021</v>
      </c>
      <c r="F183" s="21" t="str">
        <f>HYPERLINK("https://psearch.kitsapgov.com/webappa/index.html?parcelID=1866490&amp;Theme=Imagery","1866490")</f>
        <v>1866490</v>
      </c>
      <c r="G183" s="16" t="s">
        <v>1022</v>
      </c>
      <c r="H183" s="17">
        <v>44176</v>
      </c>
      <c r="I183" s="18">
        <v>90000</v>
      </c>
      <c r="J183" s="19">
        <v>0</v>
      </c>
      <c r="L183" s="16" t="s">
        <v>38</v>
      </c>
      <c r="M183" s="16" t="s">
        <v>1023</v>
      </c>
      <c r="N183" s="16" t="s">
        <v>1024</v>
      </c>
    </row>
    <row r="184" spans="1:14" ht="20.100000000000001" customHeight="1" x14ac:dyDescent="0.25">
      <c r="A184" s="15" t="s">
        <v>1025</v>
      </c>
      <c r="B184" s="16" t="s">
        <v>1026</v>
      </c>
      <c r="C184" s="15">
        <v>8100502</v>
      </c>
      <c r="D184" s="16" t="s">
        <v>142</v>
      </c>
      <c r="E184" s="15" t="s">
        <v>1027</v>
      </c>
      <c r="F184" s="21" t="str">
        <f>HYPERLINK("https://psearch.kitsapgov.com/webappa/index.html?parcelID=2632305&amp;Theme=Imagery","2632305")</f>
        <v>2632305</v>
      </c>
      <c r="G184" s="16" t="s">
        <v>1028</v>
      </c>
      <c r="H184" s="17">
        <v>44182</v>
      </c>
      <c r="I184" s="18">
        <v>1200000</v>
      </c>
      <c r="J184" s="19">
        <v>25.56</v>
      </c>
      <c r="K184" s="16" t="s">
        <v>1029</v>
      </c>
      <c r="L184" s="16" t="s">
        <v>38</v>
      </c>
      <c r="M184" s="16" t="s">
        <v>1030</v>
      </c>
      <c r="N184" s="16" t="s">
        <v>1031</v>
      </c>
    </row>
    <row r="185" spans="1:14" ht="20.100000000000001" customHeight="1" x14ac:dyDescent="0.25">
      <c r="A185" s="15" t="s">
        <v>1032</v>
      </c>
      <c r="B185" s="16" t="s">
        <v>48</v>
      </c>
      <c r="C185" s="15">
        <v>8100502</v>
      </c>
      <c r="D185" s="16" t="s">
        <v>142</v>
      </c>
      <c r="E185" s="15" t="s">
        <v>1033</v>
      </c>
      <c r="F185" s="21" t="str">
        <f>HYPERLINK("https://psearch.kitsapgov.com/webappa/index.html?parcelID=2649861&amp;Theme=Imagery","2649861")</f>
        <v>2649861</v>
      </c>
      <c r="G185" s="16" t="s">
        <v>1034</v>
      </c>
      <c r="H185" s="17">
        <v>44183</v>
      </c>
      <c r="I185" s="18">
        <v>665000</v>
      </c>
      <c r="J185" s="19">
        <v>2.04</v>
      </c>
      <c r="K185" s="16" t="s">
        <v>145</v>
      </c>
      <c r="L185" s="16" t="s">
        <v>38</v>
      </c>
      <c r="M185" s="16" t="s">
        <v>296</v>
      </c>
      <c r="N185" s="16" t="s">
        <v>1035</v>
      </c>
    </row>
    <row r="186" spans="1:14" ht="20.100000000000001" customHeight="1" x14ac:dyDescent="0.25">
      <c r="A186" s="15" t="s">
        <v>1036</v>
      </c>
      <c r="B186" s="16" t="s">
        <v>48</v>
      </c>
      <c r="C186" s="15">
        <v>8100502</v>
      </c>
      <c r="D186" s="16" t="s">
        <v>142</v>
      </c>
      <c r="E186" s="15" t="s">
        <v>1033</v>
      </c>
      <c r="F186" s="21" t="str">
        <f>HYPERLINK("https://psearch.kitsapgov.com/webappa/index.html?parcelID=2649861&amp;Theme=Imagery","2649861")</f>
        <v>2649861</v>
      </c>
      <c r="G186" s="16" t="s">
        <v>1034</v>
      </c>
      <c r="H186" s="17">
        <v>44183</v>
      </c>
      <c r="I186" s="18">
        <v>665000</v>
      </c>
      <c r="J186" s="19">
        <v>2.04</v>
      </c>
      <c r="K186" s="16" t="s">
        <v>145</v>
      </c>
      <c r="L186" s="16" t="s">
        <v>116</v>
      </c>
      <c r="M186" s="16" t="s">
        <v>296</v>
      </c>
      <c r="N186" s="16" t="s">
        <v>1037</v>
      </c>
    </row>
    <row r="187" spans="1:14" ht="20.100000000000001" customHeight="1" x14ac:dyDescent="0.25">
      <c r="A187" s="15" t="s">
        <v>1038</v>
      </c>
      <c r="B187" s="16" t="s">
        <v>159</v>
      </c>
      <c r="C187" s="15">
        <v>8100501</v>
      </c>
      <c r="D187" s="16" t="s">
        <v>63</v>
      </c>
      <c r="E187" s="15" t="s">
        <v>1039</v>
      </c>
      <c r="F187" s="21" t="str">
        <f>HYPERLINK("https://psearch.kitsapgov.com/webappa/index.html?parcelID=1427467&amp;Theme=Imagery","1427467")</f>
        <v>1427467</v>
      </c>
      <c r="G187" s="16" t="s">
        <v>1040</v>
      </c>
      <c r="H187" s="17">
        <v>44176</v>
      </c>
      <c r="I187" s="18">
        <v>201850</v>
      </c>
      <c r="J187" s="19">
        <v>7.0000000000000007E-2</v>
      </c>
      <c r="K187" s="16" t="s">
        <v>66</v>
      </c>
      <c r="L187" s="16" t="s">
        <v>29</v>
      </c>
      <c r="M187" s="16" t="s">
        <v>1041</v>
      </c>
      <c r="N187" s="16" t="s">
        <v>1042</v>
      </c>
    </row>
    <row r="188" spans="1:14" ht="20.100000000000001" customHeight="1" x14ac:dyDescent="0.25">
      <c r="A188" s="15" t="s">
        <v>1043</v>
      </c>
      <c r="B188" s="16" t="s">
        <v>1044</v>
      </c>
      <c r="C188" s="15">
        <v>9100541</v>
      </c>
      <c r="D188" s="16" t="s">
        <v>186</v>
      </c>
      <c r="E188" s="15" t="s">
        <v>1045</v>
      </c>
      <c r="F188" s="21" t="str">
        <f>HYPERLINK("https://psearch.kitsapgov.com/webappa/index.html?parcelID=2036853&amp;Theme=Imagery","2036853")</f>
        <v>2036853</v>
      </c>
      <c r="G188" s="16" t="s">
        <v>1046</v>
      </c>
      <c r="H188" s="17">
        <v>44174</v>
      </c>
      <c r="I188" s="18">
        <v>25000000</v>
      </c>
      <c r="J188" s="19">
        <v>3.3</v>
      </c>
      <c r="K188" s="16" t="s">
        <v>377</v>
      </c>
      <c r="L188" s="16" t="s">
        <v>38</v>
      </c>
      <c r="M188" s="16" t="s">
        <v>1047</v>
      </c>
      <c r="N188" s="16" t="s">
        <v>1048</v>
      </c>
    </row>
    <row r="189" spans="1:14" ht="20.100000000000001" customHeight="1" x14ac:dyDescent="0.25">
      <c r="A189" s="15" t="s">
        <v>1049</v>
      </c>
      <c r="B189" s="16" t="s">
        <v>105</v>
      </c>
      <c r="C189" s="15">
        <v>9402390</v>
      </c>
      <c r="D189" s="16" t="s">
        <v>173</v>
      </c>
      <c r="E189" s="15" t="s">
        <v>1050</v>
      </c>
      <c r="F189" s="21" t="str">
        <f>HYPERLINK("https://psearch.kitsapgov.com/webappa/index.html?parcelID=1048388&amp;Theme=Imagery","1048388")</f>
        <v>1048388</v>
      </c>
      <c r="G189" s="16" t="s">
        <v>1051</v>
      </c>
      <c r="H189" s="17">
        <v>44179</v>
      </c>
      <c r="I189" s="18">
        <v>240000</v>
      </c>
      <c r="J189" s="19">
        <v>7.62</v>
      </c>
      <c r="K189" s="16" t="s">
        <v>455</v>
      </c>
      <c r="L189" s="16" t="s">
        <v>20</v>
      </c>
      <c r="M189" s="16" t="s">
        <v>1052</v>
      </c>
      <c r="N189" s="16" t="s">
        <v>1053</v>
      </c>
    </row>
    <row r="190" spans="1:14" ht="20.100000000000001" customHeight="1" x14ac:dyDescent="0.25">
      <c r="A190" s="15" t="s">
        <v>1054</v>
      </c>
      <c r="B190" s="16" t="s">
        <v>105</v>
      </c>
      <c r="C190" s="15">
        <v>9100542</v>
      </c>
      <c r="D190" s="16" t="s">
        <v>360</v>
      </c>
      <c r="E190" s="15" t="s">
        <v>1055</v>
      </c>
      <c r="F190" s="21" t="str">
        <f>HYPERLINK("https://psearch.kitsapgov.com/webappa/index.html?parcelID=2324572&amp;Theme=Imagery","2324572")</f>
        <v>2324572</v>
      </c>
      <c r="G190" s="16" t="s">
        <v>1056</v>
      </c>
      <c r="H190" s="17">
        <v>44111</v>
      </c>
      <c r="I190" s="18">
        <v>500</v>
      </c>
      <c r="J190" s="19">
        <v>0.19</v>
      </c>
      <c r="K190" s="16" t="s">
        <v>377</v>
      </c>
      <c r="L190" s="16" t="s">
        <v>631</v>
      </c>
      <c r="M190" s="16" t="s">
        <v>1057</v>
      </c>
      <c r="N190" s="16" t="s">
        <v>907</v>
      </c>
    </row>
    <row r="191" spans="1:14" ht="20.100000000000001" customHeight="1" x14ac:dyDescent="0.25">
      <c r="A191" s="15" t="s">
        <v>1058</v>
      </c>
      <c r="B191" s="16" t="s">
        <v>459</v>
      </c>
      <c r="C191" s="15">
        <v>8100501</v>
      </c>
      <c r="D191" s="16" t="s">
        <v>63</v>
      </c>
      <c r="E191" s="15" t="s">
        <v>1059</v>
      </c>
      <c r="F191" s="21" t="str">
        <f>HYPERLINK("https://psearch.kitsapgov.com/webappa/index.html?parcelID=1977743&amp;Theme=Imagery","1977743")</f>
        <v>1977743</v>
      </c>
      <c r="G191" s="16" t="s">
        <v>1060</v>
      </c>
      <c r="H191" s="17">
        <v>44186</v>
      </c>
      <c r="I191" s="18">
        <v>100000</v>
      </c>
      <c r="J191" s="19">
        <v>0.28000000000000003</v>
      </c>
      <c r="K191" s="16" t="s">
        <v>773</v>
      </c>
      <c r="L191" s="16" t="s">
        <v>38</v>
      </c>
      <c r="M191" s="16" t="s">
        <v>1061</v>
      </c>
      <c r="N191" s="16" t="s">
        <v>1062</v>
      </c>
    </row>
    <row r="192" spans="1:14" ht="20.100000000000001" customHeight="1" x14ac:dyDescent="0.25">
      <c r="A192" s="15" t="s">
        <v>1063</v>
      </c>
      <c r="B192" s="16" t="s">
        <v>70</v>
      </c>
      <c r="C192" s="15">
        <v>8100510</v>
      </c>
      <c r="D192" s="16" t="s">
        <v>106</v>
      </c>
      <c r="E192" s="15" t="s">
        <v>1064</v>
      </c>
      <c r="F192" s="21" t="str">
        <f>HYPERLINK("https://psearch.kitsapgov.com/webappa/index.html?parcelID=1439207&amp;Theme=Imagery","1439207")</f>
        <v>1439207</v>
      </c>
      <c r="G192" s="16" t="s">
        <v>1065</v>
      </c>
      <c r="H192" s="17">
        <v>44187</v>
      </c>
      <c r="I192" s="18">
        <v>445000</v>
      </c>
      <c r="J192" s="19">
        <v>0.34</v>
      </c>
      <c r="K192" s="16" t="s">
        <v>109</v>
      </c>
      <c r="L192" s="16" t="s">
        <v>38</v>
      </c>
      <c r="M192" s="16" t="s">
        <v>1066</v>
      </c>
      <c r="N192" s="16" t="s">
        <v>1067</v>
      </c>
    </row>
    <row r="193" spans="1:14" ht="20.100000000000001" customHeight="1" x14ac:dyDescent="0.25">
      <c r="A193" s="15" t="s">
        <v>1068</v>
      </c>
      <c r="B193" s="16" t="s">
        <v>159</v>
      </c>
      <c r="C193" s="15">
        <v>8401101</v>
      </c>
      <c r="D193" s="16" t="s">
        <v>305</v>
      </c>
      <c r="E193" s="15" t="s">
        <v>1069</v>
      </c>
      <c r="F193" s="21" t="str">
        <f>HYPERLINK("https://psearch.kitsapgov.com/webappa/index.html?parcelID=1920917&amp;Theme=Imagery","1920917")</f>
        <v>1920917</v>
      </c>
      <c r="G193" s="16" t="s">
        <v>1070</v>
      </c>
      <c r="H193" s="17">
        <v>44180</v>
      </c>
      <c r="I193" s="18">
        <v>3800000</v>
      </c>
      <c r="J193" s="19">
        <v>1.31</v>
      </c>
      <c r="K193" s="16" t="s">
        <v>308</v>
      </c>
      <c r="L193" s="16" t="s">
        <v>38</v>
      </c>
      <c r="M193" s="16" t="s">
        <v>1071</v>
      </c>
      <c r="N193" s="16" t="s">
        <v>1072</v>
      </c>
    </row>
    <row r="194" spans="1:14" ht="20.100000000000001" customHeight="1" x14ac:dyDescent="0.25">
      <c r="A194" s="15" t="s">
        <v>1073</v>
      </c>
      <c r="B194" s="16" t="s">
        <v>98</v>
      </c>
      <c r="C194" s="15">
        <v>8400206</v>
      </c>
      <c r="D194" s="16" t="s">
        <v>99</v>
      </c>
      <c r="E194" s="15" t="s">
        <v>1074</v>
      </c>
      <c r="F194" s="21" t="str">
        <f>HYPERLINK("https://psearch.kitsapgov.com/webappa/index.html?parcelID=2071132&amp;Theme=Imagery","2071132")</f>
        <v>2071132</v>
      </c>
      <c r="G194" s="16" t="s">
        <v>1075</v>
      </c>
      <c r="H194" s="17">
        <v>44195</v>
      </c>
      <c r="I194" s="18">
        <v>47000</v>
      </c>
      <c r="J194" s="19">
        <v>0</v>
      </c>
      <c r="L194" s="16" t="s">
        <v>20</v>
      </c>
      <c r="M194" s="16" t="s">
        <v>1076</v>
      </c>
      <c r="N194" s="16" t="s">
        <v>1077</v>
      </c>
    </row>
    <row r="195" spans="1:14" ht="20.100000000000001" customHeight="1" x14ac:dyDescent="0.25">
      <c r="A195" s="15" t="s">
        <v>1078</v>
      </c>
      <c r="B195" s="16" t="s">
        <v>78</v>
      </c>
      <c r="C195" s="15">
        <v>8401104</v>
      </c>
      <c r="D195" s="16" t="s">
        <v>241</v>
      </c>
      <c r="E195" s="15" t="s">
        <v>1079</v>
      </c>
      <c r="F195" s="21" t="str">
        <f>HYPERLINK("https://psearch.kitsapgov.com/webappa/index.html?parcelID=1116359&amp;Theme=Imagery","1116359")</f>
        <v>1116359</v>
      </c>
      <c r="G195" s="16" t="s">
        <v>1080</v>
      </c>
      <c r="H195" s="17">
        <v>44194</v>
      </c>
      <c r="I195" s="18">
        <v>205000</v>
      </c>
      <c r="J195" s="19">
        <v>0.19</v>
      </c>
      <c r="K195" s="16" t="s">
        <v>82</v>
      </c>
      <c r="L195" s="16" t="s">
        <v>20</v>
      </c>
      <c r="M195" s="16" t="s">
        <v>1081</v>
      </c>
      <c r="N195" s="16" t="s">
        <v>1082</v>
      </c>
    </row>
    <row r="196" spans="1:14" ht="20.100000000000001" customHeight="1" x14ac:dyDescent="0.25">
      <c r="A196" s="15" t="s">
        <v>1083</v>
      </c>
      <c r="B196" s="16" t="s">
        <v>159</v>
      </c>
      <c r="C196" s="15">
        <v>8100502</v>
      </c>
      <c r="D196" s="16" t="s">
        <v>142</v>
      </c>
      <c r="E196" s="15" t="s">
        <v>1084</v>
      </c>
      <c r="F196" s="21" t="str">
        <f>HYPERLINK("https://psearch.kitsapgov.com/webappa/index.html?parcelID=1126440&amp;Theme=Imagery","1126440")</f>
        <v>1126440</v>
      </c>
      <c r="G196" s="16" t="s">
        <v>1085</v>
      </c>
      <c r="H196" s="17">
        <v>44194</v>
      </c>
      <c r="I196" s="18">
        <v>430000</v>
      </c>
      <c r="J196" s="19">
        <v>0.34</v>
      </c>
      <c r="K196" s="16" t="s">
        <v>168</v>
      </c>
      <c r="L196" s="16" t="s">
        <v>190</v>
      </c>
      <c r="M196" s="16" t="s">
        <v>1086</v>
      </c>
      <c r="N196" s="16" t="s">
        <v>1087</v>
      </c>
    </row>
    <row r="197" spans="1:14" ht="20.100000000000001" customHeight="1" x14ac:dyDescent="0.25">
      <c r="A197" s="15" t="s">
        <v>1088</v>
      </c>
      <c r="B197" s="16" t="s">
        <v>909</v>
      </c>
      <c r="C197" s="15">
        <v>8402405</v>
      </c>
      <c r="D197" s="16" t="s">
        <v>71</v>
      </c>
      <c r="E197" s="15" t="s">
        <v>1089</v>
      </c>
      <c r="F197" s="21" t="str">
        <f>HYPERLINK("https://psearch.kitsapgov.com/webappa/index.html?parcelID=1050210&amp;Theme=Imagery","1050210")</f>
        <v>1050210</v>
      </c>
      <c r="G197" s="16" t="s">
        <v>1090</v>
      </c>
      <c r="H197" s="17">
        <v>44194</v>
      </c>
      <c r="I197" s="18">
        <v>2700000</v>
      </c>
      <c r="J197" s="19">
        <v>9.84</v>
      </c>
      <c r="K197" s="16" t="s">
        <v>1091</v>
      </c>
      <c r="L197" s="16" t="s">
        <v>20</v>
      </c>
      <c r="M197" s="16" t="s">
        <v>1092</v>
      </c>
      <c r="N197" s="16" t="s">
        <v>1093</v>
      </c>
    </row>
    <row r="198" spans="1:14" ht="20.100000000000001" customHeight="1" x14ac:dyDescent="0.25">
      <c r="A198" s="15" t="s">
        <v>1094</v>
      </c>
      <c r="B198" s="16" t="s">
        <v>533</v>
      </c>
      <c r="C198" s="15">
        <v>9100541</v>
      </c>
      <c r="D198" s="16" t="s">
        <v>186</v>
      </c>
      <c r="E198" s="15" t="s">
        <v>1095</v>
      </c>
      <c r="F198" s="21" t="str">
        <f>HYPERLINK("https://psearch.kitsapgov.com/webappa/index.html?parcelID=1138932&amp;Theme=Imagery","1138932")</f>
        <v>1138932</v>
      </c>
      <c r="G198" s="16" t="s">
        <v>1096</v>
      </c>
      <c r="H198" s="17">
        <v>44186</v>
      </c>
      <c r="I198" s="18">
        <v>599000</v>
      </c>
      <c r="J198" s="19">
        <v>0.05</v>
      </c>
      <c r="K198" s="16" t="s">
        <v>863</v>
      </c>
      <c r="L198" s="16" t="s">
        <v>20</v>
      </c>
      <c r="M198" s="16" t="s">
        <v>1097</v>
      </c>
      <c r="N198" s="16" t="s">
        <v>1098</v>
      </c>
    </row>
    <row r="199" spans="1:14" ht="20.100000000000001" customHeight="1" x14ac:dyDescent="0.25">
      <c r="A199" s="15" t="s">
        <v>1099</v>
      </c>
      <c r="B199" s="16" t="s">
        <v>317</v>
      </c>
      <c r="C199" s="15">
        <v>9100591</v>
      </c>
      <c r="D199" s="16" t="s">
        <v>318</v>
      </c>
      <c r="E199" s="15" t="s">
        <v>1100</v>
      </c>
      <c r="F199" s="21" t="str">
        <f>HYPERLINK("https://psearch.kitsapgov.com/webappa/index.html?parcelID=1717420&amp;Theme=Imagery","1717420")</f>
        <v>1717420</v>
      </c>
      <c r="G199" s="16" t="s">
        <v>1101</v>
      </c>
      <c r="H199" s="17">
        <v>44193</v>
      </c>
      <c r="I199" s="18">
        <v>435000</v>
      </c>
      <c r="J199" s="19">
        <v>0.08</v>
      </c>
      <c r="K199" s="16" t="s">
        <v>176</v>
      </c>
      <c r="L199" s="16" t="s">
        <v>20</v>
      </c>
      <c r="M199" s="16" t="s">
        <v>1102</v>
      </c>
      <c r="N199" s="16" t="s">
        <v>1103</v>
      </c>
    </row>
    <row r="200" spans="1:14" ht="20.100000000000001" customHeight="1" x14ac:dyDescent="0.25">
      <c r="A200" s="15" t="s">
        <v>1104</v>
      </c>
      <c r="B200" s="16" t="s">
        <v>909</v>
      </c>
      <c r="C200" s="15">
        <v>8402405</v>
      </c>
      <c r="D200" s="16" t="s">
        <v>71</v>
      </c>
      <c r="E200" s="15" t="s">
        <v>1089</v>
      </c>
      <c r="F200" s="21" t="str">
        <f>HYPERLINK("https://psearch.kitsapgov.com/webappa/index.html?parcelID=1050210&amp;Theme=Imagery","1050210")</f>
        <v>1050210</v>
      </c>
      <c r="G200" s="16" t="s">
        <v>1090</v>
      </c>
      <c r="H200" s="17">
        <v>44194</v>
      </c>
      <c r="I200" s="18">
        <v>50000</v>
      </c>
      <c r="J200" s="19">
        <v>9.84</v>
      </c>
      <c r="K200" s="16" t="s">
        <v>1091</v>
      </c>
      <c r="L200" s="16" t="s">
        <v>94</v>
      </c>
      <c r="M200" s="16" t="s">
        <v>1105</v>
      </c>
      <c r="N200" s="16" t="s">
        <v>1093</v>
      </c>
    </row>
    <row r="201" spans="1:14" ht="20.100000000000001" customHeight="1" x14ac:dyDescent="0.25">
      <c r="A201" s="15" t="s">
        <v>1106</v>
      </c>
      <c r="B201" s="16" t="s">
        <v>317</v>
      </c>
      <c r="C201" s="15">
        <v>9400221</v>
      </c>
      <c r="D201" s="16" t="s">
        <v>1107</v>
      </c>
      <c r="E201" s="15" t="s">
        <v>1108</v>
      </c>
      <c r="F201" s="21" t="str">
        <f>HYPERLINK("https://psearch.kitsapgov.com/webappa/index.html?parcelID=1608918&amp;Theme=Imagery","1608918")</f>
        <v>1608918</v>
      </c>
      <c r="G201" s="16" t="s">
        <v>1109</v>
      </c>
      <c r="H201" s="17">
        <v>44194</v>
      </c>
      <c r="I201" s="18">
        <v>1370000</v>
      </c>
      <c r="J201" s="19">
        <v>0.24</v>
      </c>
      <c r="K201" s="16" t="s">
        <v>887</v>
      </c>
      <c r="L201" s="16" t="s">
        <v>20</v>
      </c>
      <c r="M201" s="16" t="s">
        <v>1110</v>
      </c>
      <c r="N201" s="16" t="s">
        <v>1111</v>
      </c>
    </row>
    <row r="202" spans="1:14" ht="20.100000000000001" customHeight="1" x14ac:dyDescent="0.25">
      <c r="A202" s="15" t="s">
        <v>1112</v>
      </c>
      <c r="B202" s="16" t="s">
        <v>403</v>
      </c>
      <c r="C202" s="15">
        <v>8401104</v>
      </c>
      <c r="D202" s="16" t="s">
        <v>241</v>
      </c>
      <c r="E202" s="15" t="s">
        <v>1113</v>
      </c>
      <c r="F202" s="21" t="str">
        <f>HYPERLINK("https://psearch.kitsapgov.com/webappa/index.html?parcelID=2527828&amp;Theme=Imagery","2527828")</f>
        <v>2527828</v>
      </c>
      <c r="G202" s="16" t="s">
        <v>1114</v>
      </c>
      <c r="H202" s="17">
        <v>44188</v>
      </c>
      <c r="I202" s="18">
        <v>98412</v>
      </c>
      <c r="J202" s="19">
        <v>0.1</v>
      </c>
      <c r="K202" s="16" t="s">
        <v>492</v>
      </c>
      <c r="L202" s="16" t="s">
        <v>20</v>
      </c>
      <c r="M202" s="16" t="s">
        <v>1115</v>
      </c>
      <c r="N202" s="16" t="s">
        <v>1116</v>
      </c>
    </row>
    <row r="203" spans="1:14" ht="20.100000000000001" customHeight="1" x14ac:dyDescent="0.25">
      <c r="A203" s="15" t="s">
        <v>1117</v>
      </c>
      <c r="B203" s="16" t="s">
        <v>317</v>
      </c>
      <c r="C203" s="15">
        <v>8401104</v>
      </c>
      <c r="D203" s="16" t="s">
        <v>241</v>
      </c>
      <c r="E203" s="15" t="s">
        <v>1118</v>
      </c>
      <c r="F203" s="21" t="str">
        <f>HYPERLINK("https://psearch.kitsapgov.com/webappa/index.html?parcelID=1116334&amp;Theme=Imagery","1116334")</f>
        <v>1116334</v>
      </c>
      <c r="G203" s="16" t="s">
        <v>1119</v>
      </c>
      <c r="H203" s="17">
        <v>44202</v>
      </c>
      <c r="I203" s="18">
        <v>415000</v>
      </c>
      <c r="J203" s="19">
        <v>0.25</v>
      </c>
      <c r="K203" s="16" t="s">
        <v>82</v>
      </c>
      <c r="L203" s="16" t="s">
        <v>20</v>
      </c>
      <c r="M203" s="16" t="s">
        <v>1120</v>
      </c>
      <c r="N203" s="16" t="s">
        <v>1121</v>
      </c>
    </row>
    <row r="204" spans="1:14" ht="20.100000000000001" customHeight="1" x14ac:dyDescent="0.25">
      <c r="A204" s="15" t="s">
        <v>1122</v>
      </c>
      <c r="B204" s="16" t="s">
        <v>324</v>
      </c>
      <c r="C204" s="15">
        <v>8401104</v>
      </c>
      <c r="D204" s="16" t="s">
        <v>241</v>
      </c>
      <c r="E204" s="15" t="s">
        <v>1123</v>
      </c>
      <c r="F204" s="21" t="str">
        <f>HYPERLINK("https://psearch.kitsapgov.com/webappa/index.html?parcelID=1116136&amp;Theme=Imagery","1116136")</f>
        <v>1116136</v>
      </c>
      <c r="G204" s="16" t="s">
        <v>1124</v>
      </c>
      <c r="H204" s="17">
        <v>44203</v>
      </c>
      <c r="I204" s="18">
        <v>175000</v>
      </c>
      <c r="J204" s="19">
        <v>7.0000000000000007E-2</v>
      </c>
      <c r="K204" s="16" t="s">
        <v>82</v>
      </c>
      <c r="L204" s="16" t="s">
        <v>38</v>
      </c>
      <c r="M204" s="16" t="s">
        <v>1125</v>
      </c>
      <c r="N204" s="16" t="s">
        <v>1126</v>
      </c>
    </row>
    <row r="205" spans="1:14" ht="20.100000000000001" customHeight="1" x14ac:dyDescent="0.25">
      <c r="A205" s="15" t="s">
        <v>1127</v>
      </c>
      <c r="B205" s="16" t="s">
        <v>70</v>
      </c>
      <c r="C205" s="15">
        <v>8402405</v>
      </c>
      <c r="D205" s="16" t="s">
        <v>71</v>
      </c>
      <c r="E205" s="15" t="s">
        <v>1128</v>
      </c>
      <c r="F205" s="21" t="str">
        <f>HYPERLINK("https://psearch.kitsapgov.com/webappa/index.html?parcelID=1033521&amp;Theme=Imagery","1033521")</f>
        <v>1033521</v>
      </c>
      <c r="G205" s="16" t="s">
        <v>1129</v>
      </c>
      <c r="H205" s="17">
        <v>44180</v>
      </c>
      <c r="I205" s="18">
        <v>310000</v>
      </c>
      <c r="J205" s="19">
        <v>2.93</v>
      </c>
      <c r="K205" s="16" t="s">
        <v>1091</v>
      </c>
      <c r="L205" s="16" t="s">
        <v>38</v>
      </c>
      <c r="M205" s="16" t="s">
        <v>1130</v>
      </c>
      <c r="N205" s="16" t="s">
        <v>1131</v>
      </c>
    </row>
    <row r="206" spans="1:14" ht="20.100000000000001" customHeight="1" x14ac:dyDescent="0.25">
      <c r="A206" s="15" t="s">
        <v>1132</v>
      </c>
      <c r="B206" s="16" t="s">
        <v>159</v>
      </c>
      <c r="C206" s="15">
        <v>8100510</v>
      </c>
      <c r="D206" s="16" t="s">
        <v>106</v>
      </c>
      <c r="E206" s="15" t="s">
        <v>1133</v>
      </c>
      <c r="F206" s="21" t="str">
        <f>HYPERLINK("https://psearch.kitsapgov.com/webappa/index.html?parcelID=1438167&amp;Theme=Imagery","1438167")</f>
        <v>1438167</v>
      </c>
      <c r="G206" s="16" t="s">
        <v>1134</v>
      </c>
      <c r="H206" s="17">
        <v>44214</v>
      </c>
      <c r="I206" s="18">
        <v>385000</v>
      </c>
      <c r="J206" s="19">
        <v>0.18</v>
      </c>
      <c r="K206" s="16" t="s">
        <v>109</v>
      </c>
      <c r="L206" s="16" t="s">
        <v>20</v>
      </c>
      <c r="M206" s="16" t="s">
        <v>1135</v>
      </c>
      <c r="N206" s="16" t="s">
        <v>1136</v>
      </c>
    </row>
    <row r="207" spans="1:14" ht="20.100000000000001" customHeight="1" x14ac:dyDescent="0.25">
      <c r="A207" s="15" t="s">
        <v>1137</v>
      </c>
      <c r="B207" s="16" t="s">
        <v>209</v>
      </c>
      <c r="C207" s="15">
        <v>8400202</v>
      </c>
      <c r="D207" s="16" t="s">
        <v>440</v>
      </c>
      <c r="E207" s="15" t="s">
        <v>1138</v>
      </c>
      <c r="F207" s="21" t="str">
        <f>HYPERLINK("https://psearch.kitsapgov.com/webappa/index.html?parcelID=1340454&amp;Theme=Imagery","1340454")</f>
        <v>1340454</v>
      </c>
      <c r="G207" s="16" t="s">
        <v>1139</v>
      </c>
      <c r="H207" s="17">
        <v>44208</v>
      </c>
      <c r="I207" s="18">
        <v>622000</v>
      </c>
      <c r="J207" s="19">
        <v>0.47</v>
      </c>
      <c r="K207" s="16" t="s">
        <v>443</v>
      </c>
      <c r="L207" s="16" t="s">
        <v>20</v>
      </c>
      <c r="M207" s="16" t="s">
        <v>1140</v>
      </c>
      <c r="N207" s="16" t="s">
        <v>1141</v>
      </c>
    </row>
    <row r="208" spans="1:14" ht="20.100000000000001" customHeight="1" x14ac:dyDescent="0.25">
      <c r="A208" s="15" t="s">
        <v>1142</v>
      </c>
      <c r="B208" s="16" t="s">
        <v>16</v>
      </c>
      <c r="C208" s="15">
        <v>8303601</v>
      </c>
      <c r="D208" s="16" t="s">
        <v>25</v>
      </c>
      <c r="E208" s="15" t="s">
        <v>1143</v>
      </c>
      <c r="F208" s="21" t="str">
        <f>HYPERLINK("https://psearch.kitsapgov.com/webappa/index.html?parcelID=2328367&amp;Theme=Imagery","2328367")</f>
        <v>2328367</v>
      </c>
      <c r="G208" s="16" t="s">
        <v>1144</v>
      </c>
      <c r="H208" s="17">
        <v>44216</v>
      </c>
      <c r="I208" s="18">
        <v>160000</v>
      </c>
      <c r="J208" s="19">
        <v>0</v>
      </c>
      <c r="L208" s="16" t="s">
        <v>20</v>
      </c>
      <c r="M208" s="16" t="s">
        <v>271</v>
      </c>
      <c r="N208" s="16" t="s">
        <v>1145</v>
      </c>
    </row>
    <row r="209" spans="1:14" ht="20.100000000000001" customHeight="1" x14ac:dyDescent="0.25">
      <c r="A209" s="15" t="s">
        <v>1146</v>
      </c>
      <c r="B209" s="16" t="s">
        <v>1044</v>
      </c>
      <c r="C209" s="15">
        <v>9400203</v>
      </c>
      <c r="D209" s="16" t="s">
        <v>49</v>
      </c>
      <c r="E209" s="15" t="s">
        <v>1147</v>
      </c>
      <c r="F209" s="21" t="str">
        <f>HYPERLINK("https://psearch.kitsapgov.com/webappa/index.html?parcelID=1334010&amp;Theme=Imagery","1334010")</f>
        <v>1334010</v>
      </c>
      <c r="G209" s="16" t="s">
        <v>1148</v>
      </c>
      <c r="H209" s="17">
        <v>44216</v>
      </c>
      <c r="I209" s="18">
        <v>20583856</v>
      </c>
      <c r="J209" s="19">
        <v>5.57</v>
      </c>
      <c r="K209" s="16" t="s">
        <v>115</v>
      </c>
      <c r="L209" s="16" t="s">
        <v>38</v>
      </c>
      <c r="M209" s="16" t="s">
        <v>1149</v>
      </c>
      <c r="N209" s="16" t="s">
        <v>1150</v>
      </c>
    </row>
    <row r="210" spans="1:14" ht="20.100000000000001" customHeight="1" x14ac:dyDescent="0.25">
      <c r="A210" s="15" t="s">
        <v>1151</v>
      </c>
      <c r="B210" s="16" t="s">
        <v>42</v>
      </c>
      <c r="C210" s="15">
        <v>8100506</v>
      </c>
      <c r="D210" s="16" t="s">
        <v>286</v>
      </c>
      <c r="E210" s="15" t="s">
        <v>1152</v>
      </c>
      <c r="F210" s="21" t="str">
        <f>HYPERLINK("https://psearch.kitsapgov.com/webappa/index.html?parcelID=1136407&amp;Theme=Imagery","1136407")</f>
        <v>1136407</v>
      </c>
      <c r="G210" s="16" t="s">
        <v>1153</v>
      </c>
      <c r="H210" s="17">
        <v>44217</v>
      </c>
      <c r="I210" s="18">
        <v>560000</v>
      </c>
      <c r="J210" s="19">
        <v>0.2</v>
      </c>
      <c r="K210" s="16" t="s">
        <v>109</v>
      </c>
      <c r="L210" s="16" t="s">
        <v>38</v>
      </c>
      <c r="M210" s="16" t="s">
        <v>1154</v>
      </c>
      <c r="N210" s="16" t="s">
        <v>1155</v>
      </c>
    </row>
    <row r="211" spans="1:14" ht="20.100000000000001" customHeight="1" x14ac:dyDescent="0.25">
      <c r="A211" s="15" t="s">
        <v>1156</v>
      </c>
      <c r="B211" s="16" t="s">
        <v>78</v>
      </c>
      <c r="C211" s="15">
        <v>8100502</v>
      </c>
      <c r="D211" s="16" t="s">
        <v>142</v>
      </c>
      <c r="E211" s="15" t="s">
        <v>1157</v>
      </c>
      <c r="F211" s="21" t="str">
        <f>HYPERLINK("https://psearch.kitsapgov.com/webappa/index.html?parcelID=1934090&amp;Theme=Imagery","1934090")</f>
        <v>1934090</v>
      </c>
      <c r="G211" s="16" t="s">
        <v>1158</v>
      </c>
      <c r="H211" s="17">
        <v>44223</v>
      </c>
      <c r="I211" s="18">
        <v>250000</v>
      </c>
      <c r="J211" s="19">
        <v>0.83</v>
      </c>
      <c r="K211" s="16" t="s">
        <v>145</v>
      </c>
      <c r="L211" s="16" t="s">
        <v>20</v>
      </c>
      <c r="M211" s="16" t="s">
        <v>1159</v>
      </c>
      <c r="N211" s="16" t="s">
        <v>600</v>
      </c>
    </row>
    <row r="212" spans="1:14" ht="20.100000000000001" customHeight="1" x14ac:dyDescent="0.25">
      <c r="A212" s="15" t="s">
        <v>1160</v>
      </c>
      <c r="B212" s="16" t="s">
        <v>105</v>
      </c>
      <c r="C212" s="15">
        <v>8402408</v>
      </c>
      <c r="D212" s="16" t="s">
        <v>160</v>
      </c>
      <c r="E212" s="15" t="s">
        <v>1161</v>
      </c>
      <c r="F212" s="21" t="str">
        <f>HYPERLINK("https://psearch.kitsapgov.com/webappa/index.html?parcelID=1167717&amp;Theme=Imagery","1167717")</f>
        <v>1167717</v>
      </c>
      <c r="G212" s="16" t="s">
        <v>1162</v>
      </c>
      <c r="H212" s="17">
        <v>44089</v>
      </c>
      <c r="I212" s="18">
        <v>1500</v>
      </c>
      <c r="J212" s="19">
        <v>0.15</v>
      </c>
      <c r="K212" s="16" t="s">
        <v>1163</v>
      </c>
      <c r="L212" s="16" t="s">
        <v>94</v>
      </c>
      <c r="M212" s="16" t="s">
        <v>1164</v>
      </c>
      <c r="N212" s="16" t="s">
        <v>1165</v>
      </c>
    </row>
    <row r="213" spans="1:14" ht="20.100000000000001" customHeight="1" x14ac:dyDescent="0.25">
      <c r="A213" s="15" t="s">
        <v>1166</v>
      </c>
      <c r="B213" s="16" t="s">
        <v>560</v>
      </c>
      <c r="C213" s="15">
        <v>8402405</v>
      </c>
      <c r="D213" s="16" t="s">
        <v>71</v>
      </c>
      <c r="E213" s="15" t="s">
        <v>1167</v>
      </c>
      <c r="F213" s="21" t="str">
        <f>HYPERLINK("https://psearch.kitsapgov.com/webappa/index.html?parcelID=2413797&amp;Theme=Imagery","2413797")</f>
        <v>2413797</v>
      </c>
      <c r="G213" s="16" t="s">
        <v>1168</v>
      </c>
      <c r="H213" s="17">
        <v>44215</v>
      </c>
      <c r="I213" s="18">
        <v>145000</v>
      </c>
      <c r="J213" s="19">
        <v>0</v>
      </c>
      <c r="L213" s="16" t="s">
        <v>944</v>
      </c>
      <c r="M213" s="16" t="s">
        <v>1169</v>
      </c>
      <c r="N213" s="16" t="s">
        <v>1170</v>
      </c>
    </row>
    <row r="214" spans="1:14" ht="20.100000000000001" customHeight="1" x14ac:dyDescent="0.25">
      <c r="A214" s="15" t="s">
        <v>1171</v>
      </c>
      <c r="B214" s="16" t="s">
        <v>98</v>
      </c>
      <c r="C214" s="15">
        <v>8400206</v>
      </c>
      <c r="D214" s="16" t="s">
        <v>99</v>
      </c>
      <c r="E214" s="15" t="s">
        <v>1172</v>
      </c>
      <c r="F214" s="21" t="str">
        <f>HYPERLINK("https://psearch.kitsapgov.com/webappa/index.html?parcelID=2071371&amp;Theme=Imagery","2071371")</f>
        <v>2071371</v>
      </c>
      <c r="G214" s="16" t="s">
        <v>337</v>
      </c>
      <c r="H214" s="17">
        <v>44224</v>
      </c>
      <c r="I214" s="18">
        <v>44000</v>
      </c>
      <c r="J214" s="19">
        <v>0</v>
      </c>
      <c r="L214" s="16" t="s">
        <v>20</v>
      </c>
      <c r="M214" s="16" t="s">
        <v>1173</v>
      </c>
      <c r="N214" s="16" t="s">
        <v>1174</v>
      </c>
    </row>
    <row r="215" spans="1:14" ht="20.100000000000001" customHeight="1" x14ac:dyDescent="0.25">
      <c r="A215" s="15" t="s">
        <v>1175</v>
      </c>
      <c r="B215" s="16" t="s">
        <v>317</v>
      </c>
      <c r="C215" s="15">
        <v>9100541</v>
      </c>
      <c r="D215" s="16" t="s">
        <v>186</v>
      </c>
      <c r="E215" s="15" t="s">
        <v>1176</v>
      </c>
      <c r="F215" s="21" t="str">
        <f>HYPERLINK("https://psearch.kitsapgov.com/webappa/index.html?parcelID=1460971&amp;Theme=Imagery","1460971")</f>
        <v>1460971</v>
      </c>
      <c r="G215" s="16" t="s">
        <v>1177</v>
      </c>
      <c r="H215" s="17">
        <v>44200</v>
      </c>
      <c r="I215" s="18">
        <v>535000</v>
      </c>
      <c r="J215" s="19">
        <v>0.09</v>
      </c>
      <c r="K215" s="16" t="s">
        <v>377</v>
      </c>
      <c r="L215" s="16" t="s">
        <v>20</v>
      </c>
      <c r="M215" s="16" t="s">
        <v>1178</v>
      </c>
      <c r="N215" s="16" t="s">
        <v>1179</v>
      </c>
    </row>
    <row r="216" spans="1:14" ht="20.100000000000001" customHeight="1" x14ac:dyDescent="0.25">
      <c r="A216" s="15" t="s">
        <v>1180</v>
      </c>
      <c r="B216" s="16" t="s">
        <v>70</v>
      </c>
      <c r="C216" s="15">
        <v>8402305</v>
      </c>
      <c r="D216" s="16" t="s">
        <v>452</v>
      </c>
      <c r="E216" s="15" t="s">
        <v>1181</v>
      </c>
      <c r="F216" s="21" t="str">
        <f>HYPERLINK("https://psearch.kitsapgov.com/webappa/index.html?parcelID=2337814&amp;Theme=Imagery","2337814")</f>
        <v>2337814</v>
      </c>
      <c r="G216" s="16" t="s">
        <v>1182</v>
      </c>
      <c r="H216" s="17">
        <v>44224</v>
      </c>
      <c r="I216" s="18">
        <v>425000</v>
      </c>
      <c r="J216" s="19">
        <v>0.66</v>
      </c>
      <c r="K216" s="16" t="s">
        <v>455</v>
      </c>
      <c r="L216" s="16" t="s">
        <v>190</v>
      </c>
      <c r="M216" s="16" t="s">
        <v>1183</v>
      </c>
      <c r="N216" s="16" t="s">
        <v>1184</v>
      </c>
    </row>
    <row r="217" spans="1:14" ht="20.100000000000001" customHeight="1" x14ac:dyDescent="0.25">
      <c r="A217" s="15" t="s">
        <v>1185</v>
      </c>
      <c r="B217" s="16" t="s">
        <v>172</v>
      </c>
      <c r="C217" s="15">
        <v>9100541</v>
      </c>
      <c r="D217" s="16" t="s">
        <v>186</v>
      </c>
      <c r="E217" s="15" t="s">
        <v>1186</v>
      </c>
      <c r="F217" s="21" t="str">
        <f>HYPERLINK("https://psearch.kitsapgov.com/webappa/index.html?parcelID=1455070&amp;Theme=Imagery","1455070")</f>
        <v>1455070</v>
      </c>
      <c r="G217" s="16" t="s">
        <v>1187</v>
      </c>
      <c r="H217" s="17">
        <v>44225</v>
      </c>
      <c r="I217" s="18">
        <v>860000</v>
      </c>
      <c r="J217" s="19">
        <v>0.16</v>
      </c>
      <c r="K217" s="16" t="s">
        <v>377</v>
      </c>
      <c r="L217" s="16" t="s">
        <v>38</v>
      </c>
      <c r="M217" s="16" t="s">
        <v>1188</v>
      </c>
      <c r="N217" s="16" t="s">
        <v>1189</v>
      </c>
    </row>
    <row r="218" spans="1:14" ht="20.100000000000001" customHeight="1" x14ac:dyDescent="0.25">
      <c r="A218" s="15" t="s">
        <v>1190</v>
      </c>
      <c r="B218" s="16" t="s">
        <v>16</v>
      </c>
      <c r="C218" s="15">
        <v>8303601</v>
      </c>
      <c r="D218" s="16" t="s">
        <v>25</v>
      </c>
      <c r="E218" s="15" t="s">
        <v>1191</v>
      </c>
      <c r="F218" s="21" t="str">
        <f>HYPERLINK("https://psearch.kitsapgov.com/webappa/index.html?parcelID=2371771&amp;Theme=Imagery","2371771")</f>
        <v>2371771</v>
      </c>
      <c r="G218" s="16" t="s">
        <v>1192</v>
      </c>
      <c r="H218" s="17">
        <v>44225</v>
      </c>
      <c r="I218" s="18">
        <v>380000</v>
      </c>
      <c r="J218" s="19">
        <v>0</v>
      </c>
      <c r="L218" s="16" t="s">
        <v>20</v>
      </c>
      <c r="M218" s="16" t="s">
        <v>1193</v>
      </c>
      <c r="N218" s="16" t="s">
        <v>1194</v>
      </c>
    </row>
    <row r="219" spans="1:14" ht="20.100000000000001" customHeight="1" x14ac:dyDescent="0.25">
      <c r="A219" s="15" t="s">
        <v>1195</v>
      </c>
      <c r="B219" s="16" t="s">
        <v>560</v>
      </c>
      <c r="C219" s="15">
        <v>8402405</v>
      </c>
      <c r="D219" s="16" t="s">
        <v>71</v>
      </c>
      <c r="E219" s="15" t="s">
        <v>1196</v>
      </c>
      <c r="F219" s="21" t="str">
        <f>HYPERLINK("https://psearch.kitsapgov.com/webappa/index.html?parcelID=2464543&amp;Theme=Imagery","2464543")</f>
        <v>2464543</v>
      </c>
      <c r="G219" s="16" t="s">
        <v>1197</v>
      </c>
      <c r="H219" s="17">
        <v>44221</v>
      </c>
      <c r="I219" s="18">
        <v>100000</v>
      </c>
      <c r="J219" s="19">
        <v>0</v>
      </c>
      <c r="L219" s="16" t="s">
        <v>944</v>
      </c>
      <c r="M219" s="16" t="s">
        <v>1198</v>
      </c>
      <c r="N219" s="16" t="s">
        <v>1199</v>
      </c>
    </row>
    <row r="220" spans="1:14" ht="20.100000000000001" customHeight="1" x14ac:dyDescent="0.25">
      <c r="A220" s="15" t="s">
        <v>1200</v>
      </c>
      <c r="B220" s="16" t="s">
        <v>560</v>
      </c>
      <c r="C220" s="15">
        <v>8402405</v>
      </c>
      <c r="D220" s="16" t="s">
        <v>71</v>
      </c>
      <c r="E220" s="15" t="s">
        <v>1201</v>
      </c>
      <c r="F220" s="21" t="str">
        <f>HYPERLINK("https://psearch.kitsapgov.com/webappa/index.html?parcelID=2455996&amp;Theme=Imagery","2455996")</f>
        <v>2455996</v>
      </c>
      <c r="G220" s="16" t="s">
        <v>1202</v>
      </c>
      <c r="H220" s="17">
        <v>44221</v>
      </c>
      <c r="I220" s="18">
        <v>48000</v>
      </c>
      <c r="J220" s="19">
        <v>0</v>
      </c>
      <c r="L220" s="16" t="s">
        <v>944</v>
      </c>
      <c r="M220" s="16" t="s">
        <v>1203</v>
      </c>
      <c r="N220" s="16" t="s">
        <v>1204</v>
      </c>
    </row>
    <row r="221" spans="1:14" ht="20.100000000000001" customHeight="1" x14ac:dyDescent="0.25">
      <c r="A221" s="15" t="s">
        <v>1205</v>
      </c>
      <c r="B221" s="16" t="s">
        <v>317</v>
      </c>
      <c r="C221" s="15">
        <v>9401592</v>
      </c>
      <c r="D221" s="16" t="s">
        <v>696</v>
      </c>
      <c r="E221" s="15" t="s">
        <v>1206</v>
      </c>
      <c r="F221" s="21" t="str">
        <f>HYPERLINK("https://psearch.kitsapgov.com/webappa/index.html?parcelID=2057933&amp;Theme=Imagery","2057933")</f>
        <v>2057933</v>
      </c>
      <c r="G221" s="16" t="s">
        <v>1207</v>
      </c>
      <c r="H221" s="17">
        <v>44229</v>
      </c>
      <c r="I221" s="18">
        <v>335000</v>
      </c>
      <c r="J221" s="19">
        <v>1</v>
      </c>
      <c r="K221" s="16" t="s">
        <v>699</v>
      </c>
      <c r="L221" s="16" t="s">
        <v>53</v>
      </c>
      <c r="M221" s="16" t="s">
        <v>1208</v>
      </c>
      <c r="N221" s="16" t="s">
        <v>1209</v>
      </c>
    </row>
    <row r="222" spans="1:14" ht="20.100000000000001" customHeight="1" x14ac:dyDescent="0.25">
      <c r="A222" s="15" t="s">
        <v>1210</v>
      </c>
      <c r="B222" s="16" t="s">
        <v>48</v>
      </c>
      <c r="C222" s="15">
        <v>8401101</v>
      </c>
      <c r="D222" s="16" t="s">
        <v>305</v>
      </c>
      <c r="E222" s="15" t="s">
        <v>1211</v>
      </c>
      <c r="F222" s="21" t="str">
        <f>HYPERLINK("https://psearch.kitsapgov.com/webappa/index.html?parcelID=2446946&amp;Theme=Imagery","2446946")</f>
        <v>2446946</v>
      </c>
      <c r="G222" s="16" t="s">
        <v>1212</v>
      </c>
      <c r="H222" s="17">
        <v>44216</v>
      </c>
      <c r="I222" s="18">
        <v>59800000</v>
      </c>
      <c r="J222" s="19">
        <v>11.33</v>
      </c>
      <c r="K222" s="16" t="s">
        <v>308</v>
      </c>
      <c r="L222" s="16" t="s">
        <v>38</v>
      </c>
      <c r="M222" s="16" t="s">
        <v>1213</v>
      </c>
      <c r="N222" s="16" t="s">
        <v>1214</v>
      </c>
    </row>
    <row r="223" spans="1:14" ht="20.100000000000001" customHeight="1" x14ac:dyDescent="0.25">
      <c r="A223" s="15" t="s">
        <v>1215</v>
      </c>
      <c r="B223" s="16" t="s">
        <v>317</v>
      </c>
      <c r="C223" s="15">
        <v>9402395</v>
      </c>
      <c r="D223" s="16" t="s">
        <v>1216</v>
      </c>
      <c r="E223" s="15" t="s">
        <v>1217</v>
      </c>
      <c r="F223" s="21" t="str">
        <f>HYPERLINK("https://psearch.kitsapgov.com/webappa/index.html?parcelID=1501923&amp;Theme=Imagery","1501923")</f>
        <v>1501923</v>
      </c>
      <c r="G223" s="16" t="s">
        <v>1218</v>
      </c>
      <c r="H223" s="17">
        <v>44218</v>
      </c>
      <c r="I223" s="18">
        <v>230000</v>
      </c>
      <c r="J223" s="19">
        <v>0.17</v>
      </c>
      <c r="K223" s="16" t="s">
        <v>874</v>
      </c>
      <c r="L223" s="16" t="s">
        <v>94</v>
      </c>
      <c r="M223" s="16" t="s">
        <v>1219</v>
      </c>
      <c r="N223" s="16" t="s">
        <v>1220</v>
      </c>
    </row>
    <row r="224" spans="1:14" ht="20.100000000000001" customHeight="1" x14ac:dyDescent="0.25">
      <c r="A224" s="15" t="s">
        <v>1221</v>
      </c>
      <c r="B224" s="16" t="s">
        <v>78</v>
      </c>
      <c r="C224" s="15">
        <v>8303601</v>
      </c>
      <c r="D224" s="16" t="s">
        <v>25</v>
      </c>
      <c r="E224" s="15" t="s">
        <v>1222</v>
      </c>
      <c r="F224" s="21" t="str">
        <f>HYPERLINK("https://psearch.kitsapgov.com/webappa/index.html?parcelID=1516103&amp;Theme=Imagery","1516103")</f>
        <v>1516103</v>
      </c>
      <c r="G224" s="16" t="s">
        <v>1223</v>
      </c>
      <c r="H224" s="17">
        <v>44225</v>
      </c>
      <c r="I224" s="18">
        <v>325000</v>
      </c>
      <c r="J224" s="19">
        <v>0.18</v>
      </c>
      <c r="K224" s="16" t="s">
        <v>421</v>
      </c>
      <c r="L224" s="16" t="s">
        <v>94</v>
      </c>
      <c r="M224" s="16" t="s">
        <v>1224</v>
      </c>
      <c r="N224" s="16" t="s">
        <v>1225</v>
      </c>
    </row>
    <row r="225" spans="1:14" ht="20.100000000000001" customHeight="1" x14ac:dyDescent="0.25">
      <c r="A225" s="15" t="s">
        <v>1226</v>
      </c>
      <c r="B225" s="16" t="s">
        <v>16</v>
      </c>
      <c r="C225" s="15">
        <v>8303601</v>
      </c>
      <c r="D225" s="16" t="s">
        <v>25</v>
      </c>
      <c r="E225" s="15" t="s">
        <v>1227</v>
      </c>
      <c r="F225" s="21" t="str">
        <f>HYPERLINK("https://psearch.kitsapgov.com/webappa/index.html?parcelID=2639995&amp;Theme=Imagery","2639995")</f>
        <v>2639995</v>
      </c>
      <c r="G225" s="16" t="s">
        <v>1228</v>
      </c>
      <c r="H225" s="17">
        <v>44238</v>
      </c>
      <c r="I225" s="18">
        <v>295000</v>
      </c>
      <c r="J225" s="19">
        <v>0</v>
      </c>
      <c r="L225" s="16" t="s">
        <v>94</v>
      </c>
      <c r="M225" s="16" t="s">
        <v>59</v>
      </c>
      <c r="N225" s="16" t="s">
        <v>1229</v>
      </c>
    </row>
    <row r="226" spans="1:14" ht="20.100000000000001" customHeight="1" x14ac:dyDescent="0.25">
      <c r="A226" s="15" t="s">
        <v>1230</v>
      </c>
      <c r="B226" s="16" t="s">
        <v>16</v>
      </c>
      <c r="C226" s="15">
        <v>8303601</v>
      </c>
      <c r="D226" s="16" t="s">
        <v>25</v>
      </c>
      <c r="E226" s="15" t="s">
        <v>1231</v>
      </c>
      <c r="F226" s="21" t="str">
        <f>HYPERLINK("https://psearch.kitsapgov.com/webappa/index.html?parcelID=2640001&amp;Theme=Imagery","2640001")</f>
        <v>2640001</v>
      </c>
      <c r="G226" s="16" t="s">
        <v>1232</v>
      </c>
      <c r="H226" s="17">
        <v>44238</v>
      </c>
      <c r="I226" s="18">
        <v>275000</v>
      </c>
      <c r="J226" s="19">
        <v>0</v>
      </c>
      <c r="L226" s="16" t="s">
        <v>94</v>
      </c>
      <c r="M226" s="16" t="s">
        <v>59</v>
      </c>
      <c r="N226" s="16" t="s">
        <v>1229</v>
      </c>
    </row>
    <row r="227" spans="1:14" ht="20.100000000000001" customHeight="1" x14ac:dyDescent="0.25">
      <c r="A227" s="15" t="s">
        <v>1233</v>
      </c>
      <c r="B227" s="16" t="s">
        <v>42</v>
      </c>
      <c r="C227" s="15">
        <v>8100505</v>
      </c>
      <c r="D227" s="16" t="s">
        <v>670</v>
      </c>
      <c r="E227" s="15" t="s">
        <v>1234</v>
      </c>
      <c r="F227" s="21" t="str">
        <f>HYPERLINK("https://psearch.kitsapgov.com/webappa/index.html?parcelID=2458388&amp;Theme=Imagery","2458388")</f>
        <v>2458388</v>
      </c>
      <c r="G227" s="16" t="s">
        <v>1235</v>
      </c>
      <c r="H227" s="17">
        <v>44243</v>
      </c>
      <c r="I227" s="18">
        <v>1170000</v>
      </c>
      <c r="J227" s="19">
        <v>1.43</v>
      </c>
      <c r="K227" s="16" t="s">
        <v>673</v>
      </c>
      <c r="L227" s="16" t="s">
        <v>38</v>
      </c>
      <c r="M227" s="16" t="s">
        <v>1236</v>
      </c>
      <c r="N227" s="16" t="s">
        <v>1237</v>
      </c>
    </row>
    <row r="228" spans="1:14" ht="20.100000000000001" customHeight="1" x14ac:dyDescent="0.25">
      <c r="A228" s="15" t="s">
        <v>1238</v>
      </c>
      <c r="B228" s="16" t="s">
        <v>512</v>
      </c>
      <c r="C228" s="15">
        <v>8400201</v>
      </c>
      <c r="D228" s="16" t="s">
        <v>496</v>
      </c>
      <c r="E228" s="15" t="s">
        <v>1239</v>
      </c>
      <c r="F228" s="21" t="str">
        <f>HYPERLINK("https://psearch.kitsapgov.com/webappa/index.html?parcelID=1333673&amp;Theme=Imagery","1333673")</f>
        <v>1333673</v>
      </c>
      <c r="G228" s="16" t="s">
        <v>1240</v>
      </c>
      <c r="H228" s="17">
        <v>44244</v>
      </c>
      <c r="I228" s="18">
        <v>5397500</v>
      </c>
      <c r="J228" s="19">
        <v>2.13</v>
      </c>
      <c r="K228" s="16" t="s">
        <v>443</v>
      </c>
      <c r="L228" s="16" t="s">
        <v>20</v>
      </c>
      <c r="M228" s="16" t="s">
        <v>1241</v>
      </c>
      <c r="N228" s="16" t="s">
        <v>1242</v>
      </c>
    </row>
    <row r="229" spans="1:14" ht="20.100000000000001" customHeight="1" x14ac:dyDescent="0.25">
      <c r="A229" s="15" t="s">
        <v>1243</v>
      </c>
      <c r="B229" s="16" t="s">
        <v>1244</v>
      </c>
      <c r="C229" s="15">
        <v>9402421</v>
      </c>
      <c r="D229" s="16" t="s">
        <v>1245</v>
      </c>
      <c r="E229" s="15" t="s">
        <v>1246</v>
      </c>
      <c r="F229" s="21" t="str">
        <f>HYPERLINK("https://psearch.kitsapgov.com/webappa/index.html?parcelID=1024728&amp;Theme=Imagery","1024728")</f>
        <v>1024728</v>
      </c>
      <c r="G229" s="16" t="s">
        <v>1247</v>
      </c>
      <c r="H229" s="17">
        <v>44244</v>
      </c>
      <c r="I229" s="18">
        <v>700000</v>
      </c>
      <c r="J229" s="19">
        <v>0.47</v>
      </c>
      <c r="K229" s="16" t="s">
        <v>82</v>
      </c>
      <c r="L229" s="16" t="s">
        <v>38</v>
      </c>
      <c r="M229" s="16" t="s">
        <v>1248</v>
      </c>
      <c r="N229" s="16" t="s">
        <v>1249</v>
      </c>
    </row>
    <row r="230" spans="1:14" ht="20.100000000000001" customHeight="1" x14ac:dyDescent="0.25">
      <c r="A230" s="15" t="s">
        <v>1250</v>
      </c>
      <c r="B230" s="16" t="s">
        <v>24</v>
      </c>
      <c r="C230" s="15">
        <v>8402307</v>
      </c>
      <c r="D230" s="16" t="s">
        <v>131</v>
      </c>
      <c r="E230" s="15" t="s">
        <v>1251</v>
      </c>
      <c r="F230" s="21" t="str">
        <f>HYPERLINK("https://psearch.kitsapgov.com/webappa/index.html?parcelID=1729920&amp;Theme=Imagery","1729920")</f>
        <v>1729920</v>
      </c>
      <c r="G230" s="16" t="s">
        <v>1252</v>
      </c>
      <c r="H230" s="17">
        <v>44245</v>
      </c>
      <c r="I230" s="18">
        <v>640000</v>
      </c>
      <c r="J230" s="19">
        <v>0.7</v>
      </c>
      <c r="K230" s="16" t="s">
        <v>515</v>
      </c>
      <c r="L230" s="16" t="s">
        <v>20</v>
      </c>
      <c r="M230" s="16" t="s">
        <v>1253</v>
      </c>
      <c r="N230" s="16" t="s">
        <v>1254</v>
      </c>
    </row>
    <row r="231" spans="1:14" ht="20.100000000000001" customHeight="1" x14ac:dyDescent="0.25">
      <c r="A231" s="15" t="s">
        <v>1255</v>
      </c>
      <c r="B231" s="16" t="s">
        <v>533</v>
      </c>
      <c r="C231" s="15">
        <v>9100521</v>
      </c>
      <c r="D231" s="16" t="s">
        <v>1256</v>
      </c>
      <c r="E231" s="15" t="s">
        <v>1257</v>
      </c>
      <c r="F231" s="21" t="str">
        <f>HYPERLINK("https://psearch.kitsapgov.com/webappa/index.html?parcelID=1139146&amp;Theme=Imagery","1139146")</f>
        <v>1139146</v>
      </c>
      <c r="G231" s="16" t="s">
        <v>1258</v>
      </c>
      <c r="H231" s="17">
        <v>44249</v>
      </c>
      <c r="I231" s="18">
        <v>725000</v>
      </c>
      <c r="J231" s="19">
        <v>0.17</v>
      </c>
      <c r="K231" s="16" t="s">
        <v>863</v>
      </c>
      <c r="L231" s="16" t="s">
        <v>20</v>
      </c>
      <c r="M231" s="16" t="s">
        <v>1259</v>
      </c>
      <c r="N231" s="16" t="s">
        <v>1260</v>
      </c>
    </row>
    <row r="232" spans="1:14" ht="20.100000000000001" customHeight="1" x14ac:dyDescent="0.25">
      <c r="A232" s="15" t="s">
        <v>1261</v>
      </c>
      <c r="B232" s="16" t="s">
        <v>317</v>
      </c>
      <c r="C232" s="15">
        <v>9402390</v>
      </c>
      <c r="D232" s="16" t="s">
        <v>173</v>
      </c>
      <c r="E232" s="15" t="s">
        <v>1262</v>
      </c>
      <c r="F232" s="21" t="str">
        <f>HYPERLINK("https://psearch.kitsapgov.com/webappa/index.html?parcelID=1719343&amp;Theme=Imagery","1719343")</f>
        <v>1719343</v>
      </c>
      <c r="G232" s="16" t="s">
        <v>1263</v>
      </c>
      <c r="H232" s="17">
        <v>44246</v>
      </c>
      <c r="I232" s="18">
        <v>230000</v>
      </c>
      <c r="J232" s="19">
        <v>0.25</v>
      </c>
      <c r="K232" s="16" t="s">
        <v>176</v>
      </c>
      <c r="L232" s="16" t="s">
        <v>213</v>
      </c>
      <c r="M232" s="16" t="s">
        <v>1264</v>
      </c>
      <c r="N232" s="16" t="s">
        <v>1265</v>
      </c>
    </row>
    <row r="233" spans="1:14" ht="20.100000000000001" customHeight="1" x14ac:dyDescent="0.25">
      <c r="A233" s="15" t="s">
        <v>1266</v>
      </c>
      <c r="B233" s="16" t="s">
        <v>98</v>
      </c>
      <c r="C233" s="15">
        <v>8400206</v>
      </c>
      <c r="D233" s="16" t="s">
        <v>99</v>
      </c>
      <c r="E233" s="15" t="s">
        <v>1267</v>
      </c>
      <c r="F233" s="21" t="str">
        <f>HYPERLINK("https://psearch.kitsapgov.com/webappa/index.html?parcelID=2071504&amp;Theme=Imagery","2071504")</f>
        <v>2071504</v>
      </c>
      <c r="G233" s="16" t="s">
        <v>486</v>
      </c>
      <c r="H233" s="17">
        <v>44249</v>
      </c>
      <c r="I233" s="18">
        <v>52000</v>
      </c>
      <c r="J233" s="19">
        <v>0</v>
      </c>
      <c r="L233" s="16" t="s">
        <v>20</v>
      </c>
      <c r="M233" s="16" t="s">
        <v>1268</v>
      </c>
      <c r="N233" s="16" t="s">
        <v>1269</v>
      </c>
    </row>
    <row r="234" spans="1:14" ht="20.100000000000001" customHeight="1" x14ac:dyDescent="0.25">
      <c r="A234" s="15" t="s">
        <v>1270</v>
      </c>
      <c r="B234" s="16" t="s">
        <v>185</v>
      </c>
      <c r="C234" s="15">
        <v>9401190</v>
      </c>
      <c r="D234" s="16" t="s">
        <v>330</v>
      </c>
      <c r="E234" s="15" t="s">
        <v>1271</v>
      </c>
      <c r="F234" s="21" t="str">
        <f>HYPERLINK("https://psearch.kitsapgov.com/webappa/index.html?parcelID=1246529&amp;Theme=Imagery","1246529")</f>
        <v>1246529</v>
      </c>
      <c r="G234" s="16" t="s">
        <v>1272</v>
      </c>
      <c r="H234" s="17">
        <v>44245</v>
      </c>
      <c r="I234" s="18">
        <v>777500</v>
      </c>
      <c r="J234" s="19">
        <v>0.49</v>
      </c>
      <c r="K234" s="16" t="s">
        <v>699</v>
      </c>
      <c r="L234" s="16" t="s">
        <v>20</v>
      </c>
      <c r="M234" s="16" t="s">
        <v>1273</v>
      </c>
      <c r="N234" s="16" t="s">
        <v>1274</v>
      </c>
    </row>
    <row r="235" spans="1:14" ht="20.100000000000001" customHeight="1" x14ac:dyDescent="0.25">
      <c r="A235" s="15" t="s">
        <v>1275</v>
      </c>
      <c r="B235" s="16" t="s">
        <v>1276</v>
      </c>
      <c r="C235" s="15">
        <v>8400302</v>
      </c>
      <c r="D235" s="16" t="s">
        <v>397</v>
      </c>
      <c r="E235" s="15" t="s">
        <v>1277</v>
      </c>
      <c r="F235" s="21" t="str">
        <f>HYPERLINK("https://psearch.kitsapgov.com/webappa/index.html?parcelID=2452860&amp;Theme=Imagery","2452860")</f>
        <v>2452860</v>
      </c>
      <c r="G235" s="16" t="s">
        <v>1278</v>
      </c>
      <c r="H235" s="17">
        <v>44257</v>
      </c>
      <c r="I235" s="18">
        <v>6168437</v>
      </c>
      <c r="J235" s="19">
        <v>2.16</v>
      </c>
      <c r="K235" s="16" t="s">
        <v>679</v>
      </c>
      <c r="L235" s="16" t="s">
        <v>20</v>
      </c>
      <c r="M235" s="16" t="s">
        <v>1279</v>
      </c>
      <c r="N235" s="16" t="s">
        <v>1280</v>
      </c>
    </row>
    <row r="236" spans="1:14" ht="20.100000000000001" customHeight="1" x14ac:dyDescent="0.25">
      <c r="A236" s="15" t="s">
        <v>1281</v>
      </c>
      <c r="B236" s="16" t="s">
        <v>98</v>
      </c>
      <c r="C236" s="15">
        <v>8400206</v>
      </c>
      <c r="D236" s="16" t="s">
        <v>99</v>
      </c>
      <c r="E236" s="15" t="s">
        <v>1282</v>
      </c>
      <c r="F236" s="21" t="str">
        <f>HYPERLINK("https://psearch.kitsapgov.com/webappa/index.html?parcelID=2260818&amp;Theme=Imagery","2260818")</f>
        <v>2260818</v>
      </c>
      <c r="G236" s="16" t="s">
        <v>1283</v>
      </c>
      <c r="H236" s="17">
        <v>44246</v>
      </c>
      <c r="I236" s="18">
        <v>60000</v>
      </c>
      <c r="J236" s="19">
        <v>0</v>
      </c>
      <c r="L236" s="16" t="s">
        <v>20</v>
      </c>
      <c r="M236" s="16" t="s">
        <v>1284</v>
      </c>
      <c r="N236" s="16" t="s">
        <v>1285</v>
      </c>
    </row>
    <row r="237" spans="1:14" ht="20.100000000000001" customHeight="1" x14ac:dyDescent="0.25">
      <c r="A237" s="15" t="s">
        <v>1286</v>
      </c>
      <c r="B237" s="16" t="s">
        <v>105</v>
      </c>
      <c r="C237" s="15">
        <v>8100506</v>
      </c>
      <c r="D237" s="16" t="s">
        <v>286</v>
      </c>
      <c r="E237" s="15" t="s">
        <v>1287</v>
      </c>
      <c r="F237" s="21" t="str">
        <f>HYPERLINK("https://psearch.kitsapgov.com/webappa/index.html?parcelID=1131887&amp;Theme=Imagery","1131887")</f>
        <v>1131887</v>
      </c>
      <c r="G237" s="16" t="s">
        <v>1288</v>
      </c>
      <c r="H237" s="17">
        <v>44256</v>
      </c>
      <c r="I237" s="18">
        <v>75000</v>
      </c>
      <c r="J237" s="19">
        <v>0.09</v>
      </c>
      <c r="K237" s="16" t="s">
        <v>168</v>
      </c>
      <c r="L237" s="16" t="s">
        <v>20</v>
      </c>
      <c r="M237" s="16" t="s">
        <v>1289</v>
      </c>
      <c r="N237" s="16" t="s">
        <v>1290</v>
      </c>
    </row>
    <row r="238" spans="1:14" ht="20.100000000000001" customHeight="1" x14ac:dyDescent="0.25">
      <c r="A238" s="15" t="s">
        <v>1291</v>
      </c>
      <c r="B238" s="16" t="s">
        <v>105</v>
      </c>
      <c r="C238" s="15">
        <v>8100502</v>
      </c>
      <c r="D238" s="16" t="s">
        <v>142</v>
      </c>
      <c r="E238" s="15" t="s">
        <v>1292</v>
      </c>
      <c r="F238" s="21" t="str">
        <f>HYPERLINK("https://psearch.kitsapgov.com/webappa/index.html?parcelID=2640514&amp;Theme=Imagery","2640514")</f>
        <v>2640514</v>
      </c>
      <c r="G238" s="16" t="s">
        <v>1293</v>
      </c>
      <c r="H238" s="17">
        <v>44258</v>
      </c>
      <c r="I238" s="18">
        <v>66000</v>
      </c>
      <c r="J238" s="19">
        <v>0.16</v>
      </c>
      <c r="K238" s="16" t="s">
        <v>168</v>
      </c>
      <c r="L238" s="16" t="s">
        <v>20</v>
      </c>
      <c r="M238" s="16" t="s">
        <v>1294</v>
      </c>
      <c r="N238" s="16" t="s">
        <v>1295</v>
      </c>
    </row>
    <row r="239" spans="1:14" ht="20.100000000000001" customHeight="1" x14ac:dyDescent="0.25">
      <c r="A239" s="15" t="s">
        <v>1296</v>
      </c>
      <c r="B239" s="16" t="s">
        <v>78</v>
      </c>
      <c r="C239" s="15">
        <v>9401591</v>
      </c>
      <c r="D239" s="16" t="s">
        <v>1297</v>
      </c>
      <c r="E239" s="15" t="s">
        <v>1298</v>
      </c>
      <c r="F239" s="21" t="str">
        <f>HYPERLINK("https://psearch.kitsapgov.com/webappa/index.html?parcelID=1256304&amp;Theme=Imagery","1256304")</f>
        <v>1256304</v>
      </c>
      <c r="G239" s="16" t="s">
        <v>897</v>
      </c>
      <c r="H239" s="17">
        <v>44259</v>
      </c>
      <c r="I239" s="18">
        <v>305000</v>
      </c>
      <c r="J239" s="19">
        <v>1.77</v>
      </c>
      <c r="K239" s="16" t="s">
        <v>37</v>
      </c>
      <c r="L239" s="16" t="s">
        <v>38</v>
      </c>
      <c r="M239" s="16" t="s">
        <v>1299</v>
      </c>
      <c r="N239" s="16" t="s">
        <v>1300</v>
      </c>
    </row>
    <row r="240" spans="1:14" ht="20.100000000000001" customHeight="1" x14ac:dyDescent="0.25">
      <c r="A240" s="15" t="s">
        <v>1301</v>
      </c>
      <c r="B240" s="16" t="s">
        <v>533</v>
      </c>
      <c r="C240" s="15">
        <v>8400203</v>
      </c>
      <c r="D240" s="16" t="s">
        <v>353</v>
      </c>
      <c r="E240" s="15" t="s">
        <v>1302</v>
      </c>
      <c r="F240" s="21" t="str">
        <f>HYPERLINK("https://psearch.kitsapgov.com/webappa/index.html?parcelID=1336080&amp;Theme=Imagery","1336080")</f>
        <v>1336080</v>
      </c>
      <c r="G240" s="16" t="s">
        <v>1303</v>
      </c>
      <c r="H240" s="17">
        <v>44258</v>
      </c>
      <c r="I240" s="18">
        <v>1180000</v>
      </c>
      <c r="J240" s="19">
        <v>0.57999999999999996</v>
      </c>
      <c r="K240" s="16" t="s">
        <v>356</v>
      </c>
      <c r="L240" s="16" t="s">
        <v>38</v>
      </c>
      <c r="M240" s="16" t="s">
        <v>1304</v>
      </c>
      <c r="N240" s="16" t="s">
        <v>1305</v>
      </c>
    </row>
    <row r="241" spans="1:14" ht="20.100000000000001" customHeight="1" x14ac:dyDescent="0.25">
      <c r="A241" s="15" t="s">
        <v>1306</v>
      </c>
      <c r="B241" s="16" t="s">
        <v>130</v>
      </c>
      <c r="C241" s="15">
        <v>8402307</v>
      </c>
      <c r="D241" s="16" t="s">
        <v>131</v>
      </c>
      <c r="E241" s="15" t="s">
        <v>1307</v>
      </c>
      <c r="F241" s="21" t="str">
        <f>HYPERLINK("https://psearch.kitsapgov.com/webappa/index.html?parcelID=2075299&amp;Theme=Imagery","2075299")</f>
        <v>2075299</v>
      </c>
      <c r="G241" s="16" t="s">
        <v>1308</v>
      </c>
      <c r="H241" s="17">
        <v>44264</v>
      </c>
      <c r="I241" s="18">
        <v>4100000</v>
      </c>
      <c r="J241" s="19">
        <v>0.72</v>
      </c>
      <c r="K241" s="16" t="s">
        <v>630</v>
      </c>
      <c r="L241" s="16" t="s">
        <v>38</v>
      </c>
      <c r="M241" s="16" t="s">
        <v>1309</v>
      </c>
      <c r="N241" s="16" t="s">
        <v>1310</v>
      </c>
    </row>
    <row r="242" spans="1:14" ht="20.100000000000001" customHeight="1" x14ac:dyDescent="0.25">
      <c r="A242" s="15" t="s">
        <v>1311</v>
      </c>
      <c r="B242" s="16" t="s">
        <v>62</v>
      </c>
      <c r="C242" s="15">
        <v>8400207</v>
      </c>
      <c r="D242" s="16" t="s">
        <v>298</v>
      </c>
      <c r="E242" s="15" t="s">
        <v>299</v>
      </c>
      <c r="F242" s="21" t="str">
        <f>HYPERLINK("https://psearch.kitsapgov.com/webappa/index.html?parcelID=2455368&amp;Theme=Imagery","2455368")</f>
        <v>2455368</v>
      </c>
      <c r="G242" s="16" t="s">
        <v>300</v>
      </c>
      <c r="H242" s="17">
        <v>44267</v>
      </c>
      <c r="I242" s="18">
        <v>4225000</v>
      </c>
      <c r="J242" s="19">
        <v>0.83</v>
      </c>
      <c r="K242" s="16" t="s">
        <v>301</v>
      </c>
      <c r="L242" s="16" t="s">
        <v>38</v>
      </c>
      <c r="M242" s="16" t="s">
        <v>303</v>
      </c>
      <c r="N242" s="16" t="s">
        <v>1312</v>
      </c>
    </row>
    <row r="243" spans="1:14" ht="20.100000000000001" customHeight="1" x14ac:dyDescent="0.25">
      <c r="A243" s="15" t="s">
        <v>1313</v>
      </c>
      <c r="B243" s="16" t="s">
        <v>185</v>
      </c>
      <c r="C243" s="15">
        <v>9100542</v>
      </c>
      <c r="D243" s="16" t="s">
        <v>360</v>
      </c>
      <c r="E243" s="15" t="s">
        <v>1314</v>
      </c>
      <c r="F243" s="21" t="str">
        <f>HYPERLINK("https://psearch.kitsapgov.com/webappa/index.html?parcelID=1490143&amp;Theme=Imagery","1490143")</f>
        <v>1490143</v>
      </c>
      <c r="G243" s="16" t="s">
        <v>1315</v>
      </c>
      <c r="H243" s="17">
        <v>44272</v>
      </c>
      <c r="I243" s="18">
        <v>1410000</v>
      </c>
      <c r="J243" s="19">
        <v>0.47</v>
      </c>
      <c r="K243" s="16" t="s">
        <v>814</v>
      </c>
      <c r="L243" s="16" t="s">
        <v>20</v>
      </c>
      <c r="M243" s="16" t="s">
        <v>1316</v>
      </c>
      <c r="N243" s="16" t="s">
        <v>1317</v>
      </c>
    </row>
    <row r="244" spans="1:14" ht="20.100000000000001" customHeight="1" x14ac:dyDescent="0.25">
      <c r="A244" s="15" t="s">
        <v>1318</v>
      </c>
      <c r="B244" s="16" t="s">
        <v>24</v>
      </c>
      <c r="C244" s="15">
        <v>8400202</v>
      </c>
      <c r="D244" s="16" t="s">
        <v>440</v>
      </c>
      <c r="E244" s="15" t="s">
        <v>1319</v>
      </c>
      <c r="F244" s="21" t="str">
        <f>HYPERLINK("https://psearch.kitsapgov.com/webappa/index.html?parcelID=2365203&amp;Theme=Imagery","2365203")</f>
        <v>2365203</v>
      </c>
      <c r="G244" s="16" t="s">
        <v>1320</v>
      </c>
      <c r="H244" s="17">
        <v>44277</v>
      </c>
      <c r="I244" s="18">
        <v>2800000</v>
      </c>
      <c r="J244" s="19">
        <v>1.01</v>
      </c>
      <c r="K244" s="16" t="s">
        <v>443</v>
      </c>
      <c r="L244" s="16" t="s">
        <v>20</v>
      </c>
      <c r="M244" s="16" t="s">
        <v>1321</v>
      </c>
      <c r="N244" s="16" t="s">
        <v>1322</v>
      </c>
    </row>
    <row r="245" spans="1:14" ht="20.100000000000001" customHeight="1" x14ac:dyDescent="0.25">
      <c r="A245" s="15" t="s">
        <v>1323</v>
      </c>
      <c r="B245" s="16" t="s">
        <v>105</v>
      </c>
      <c r="C245" s="15">
        <v>8100507</v>
      </c>
      <c r="D245" s="16" t="s">
        <v>34</v>
      </c>
      <c r="E245" s="15" t="s">
        <v>1324</v>
      </c>
      <c r="F245" s="21" t="str">
        <f>HYPERLINK("https://psearch.kitsapgov.com/webappa/index.html?parcelID=1914498&amp;Theme=Imagery","1914498")</f>
        <v>1914498</v>
      </c>
      <c r="G245" s="16" t="s">
        <v>1325</v>
      </c>
      <c r="H245" s="17">
        <v>44271</v>
      </c>
      <c r="I245" s="18">
        <v>155000</v>
      </c>
      <c r="J245" s="19">
        <v>1.45</v>
      </c>
      <c r="K245" s="16" t="s">
        <v>37</v>
      </c>
      <c r="L245" s="16" t="s">
        <v>20</v>
      </c>
      <c r="M245" s="16" t="s">
        <v>1326</v>
      </c>
      <c r="N245" s="16" t="s">
        <v>1327</v>
      </c>
    </row>
    <row r="246" spans="1:14" ht="20.100000000000001" customHeight="1" x14ac:dyDescent="0.25">
      <c r="A246" s="15" t="s">
        <v>1328</v>
      </c>
      <c r="B246" s="16" t="s">
        <v>317</v>
      </c>
      <c r="C246" s="15">
        <v>9100541</v>
      </c>
      <c r="D246" s="16" t="s">
        <v>186</v>
      </c>
      <c r="E246" s="15" t="s">
        <v>1329</v>
      </c>
      <c r="F246" s="21" t="str">
        <f>HYPERLINK("https://psearch.kitsapgov.com/webappa/index.html?parcelID=1433135&amp;Theme=Imagery","1433135")</f>
        <v>1433135</v>
      </c>
      <c r="G246" s="16" t="s">
        <v>1330</v>
      </c>
      <c r="H246" s="17">
        <v>44272</v>
      </c>
      <c r="I246" s="18">
        <v>502500</v>
      </c>
      <c r="J246" s="19">
        <v>0.13</v>
      </c>
      <c r="K246" s="16" t="s">
        <v>377</v>
      </c>
      <c r="L246" s="16" t="s">
        <v>20</v>
      </c>
      <c r="M246" s="16" t="s">
        <v>1331</v>
      </c>
      <c r="N246" s="16" t="s">
        <v>1332</v>
      </c>
    </row>
    <row r="247" spans="1:14" ht="20.100000000000001" customHeight="1" x14ac:dyDescent="0.25">
      <c r="A247" s="15" t="s">
        <v>1333</v>
      </c>
      <c r="B247" s="16" t="s">
        <v>185</v>
      </c>
      <c r="C247" s="15">
        <v>9100541</v>
      </c>
      <c r="D247" s="16" t="s">
        <v>186</v>
      </c>
      <c r="E247" s="15" t="s">
        <v>187</v>
      </c>
      <c r="F247" s="21" t="str">
        <f>HYPERLINK("https://psearch.kitsapgov.com/webappa/index.html?parcelID=1429018&amp;Theme=Imagery","1429018")</f>
        <v>1429018</v>
      </c>
      <c r="G247" s="16" t="s">
        <v>188</v>
      </c>
      <c r="H247" s="17">
        <v>44274</v>
      </c>
      <c r="I247" s="18">
        <v>654700</v>
      </c>
      <c r="J247" s="19">
        <v>0.09</v>
      </c>
      <c r="K247" s="16" t="s">
        <v>189</v>
      </c>
      <c r="L247" s="16" t="s">
        <v>20</v>
      </c>
      <c r="M247" s="16" t="s">
        <v>192</v>
      </c>
      <c r="N247" s="16" t="s">
        <v>1334</v>
      </c>
    </row>
    <row r="248" spans="1:14" ht="20.100000000000001" customHeight="1" x14ac:dyDescent="0.25">
      <c r="A248" s="15" t="s">
        <v>1335</v>
      </c>
      <c r="B248" s="16" t="s">
        <v>24</v>
      </c>
      <c r="C248" s="15">
        <v>8100502</v>
      </c>
      <c r="D248" s="16" t="s">
        <v>142</v>
      </c>
      <c r="E248" s="15" t="s">
        <v>1336</v>
      </c>
      <c r="F248" s="21" t="str">
        <f>HYPERLINK("https://psearch.kitsapgov.com/webappa/index.html?parcelID=1917517&amp;Theme=Imagery","1917517")</f>
        <v>1917517</v>
      </c>
      <c r="G248" s="16" t="s">
        <v>1337</v>
      </c>
      <c r="H248" s="17">
        <v>44278</v>
      </c>
      <c r="I248" s="18">
        <v>300000</v>
      </c>
      <c r="J248" s="19">
        <v>0.16</v>
      </c>
      <c r="K248" s="16" t="s">
        <v>980</v>
      </c>
      <c r="L248" s="16" t="s">
        <v>20</v>
      </c>
      <c r="M248" s="16" t="s">
        <v>1338</v>
      </c>
      <c r="N248" s="16" t="s">
        <v>1339</v>
      </c>
    </row>
    <row r="249" spans="1:14" ht="20.100000000000001" customHeight="1" x14ac:dyDescent="0.25">
      <c r="A249" s="15" t="s">
        <v>1340</v>
      </c>
      <c r="B249" s="16" t="s">
        <v>105</v>
      </c>
      <c r="C249" s="15">
        <v>8401508</v>
      </c>
      <c r="D249" s="16" t="s">
        <v>1341</v>
      </c>
      <c r="E249" s="15" t="s">
        <v>1342</v>
      </c>
      <c r="F249" s="21" t="str">
        <f>HYPERLINK("https://psearch.kitsapgov.com/webappa/index.html?parcelID=1256262&amp;Theme=Imagery","1256262")</f>
        <v>1256262</v>
      </c>
      <c r="G249" s="16" t="s">
        <v>1343</v>
      </c>
      <c r="H249" s="17">
        <v>44281</v>
      </c>
      <c r="I249" s="18">
        <v>100000</v>
      </c>
      <c r="J249" s="19">
        <v>9.58</v>
      </c>
      <c r="K249" s="16" t="s">
        <v>37</v>
      </c>
      <c r="L249" s="16" t="s">
        <v>38</v>
      </c>
      <c r="M249" s="16" t="s">
        <v>1344</v>
      </c>
      <c r="N249" s="16" t="s">
        <v>1345</v>
      </c>
    </row>
    <row r="250" spans="1:14" ht="20.100000000000001" customHeight="1" x14ac:dyDescent="0.25">
      <c r="A250" s="15" t="s">
        <v>1346</v>
      </c>
      <c r="B250" s="16" t="s">
        <v>24</v>
      </c>
      <c r="C250" s="15">
        <v>8402307</v>
      </c>
      <c r="D250" s="16" t="s">
        <v>131</v>
      </c>
      <c r="E250" s="15" t="s">
        <v>1347</v>
      </c>
      <c r="F250" s="21" t="str">
        <f>HYPERLINK("https://psearch.kitsapgov.com/webappa/index.html?parcelID=1175496&amp;Theme=Imagery","1175496")</f>
        <v>1175496</v>
      </c>
      <c r="G250" s="16" t="s">
        <v>1348</v>
      </c>
      <c r="H250" s="17">
        <v>44277</v>
      </c>
      <c r="I250" s="18">
        <v>500000</v>
      </c>
      <c r="J250" s="19">
        <v>0.48</v>
      </c>
      <c r="K250" s="16" t="s">
        <v>515</v>
      </c>
      <c r="L250" s="16" t="s">
        <v>20</v>
      </c>
      <c r="M250" s="16" t="s">
        <v>1349</v>
      </c>
      <c r="N250" s="16" t="s">
        <v>1350</v>
      </c>
    </row>
    <row r="251" spans="1:14" ht="20.100000000000001" customHeight="1" x14ac:dyDescent="0.25">
      <c r="A251" s="15" t="s">
        <v>1351</v>
      </c>
      <c r="B251" s="16" t="s">
        <v>70</v>
      </c>
      <c r="C251" s="15">
        <v>8400302</v>
      </c>
      <c r="D251" s="16" t="s">
        <v>397</v>
      </c>
      <c r="E251" s="15" t="s">
        <v>1352</v>
      </c>
      <c r="F251" s="21" t="str">
        <f>HYPERLINK("https://psearch.kitsapgov.com/webappa/index.html?parcelID=2596534&amp;Theme=Imagery","2596534")</f>
        <v>2596534</v>
      </c>
      <c r="G251" s="16" t="s">
        <v>1353</v>
      </c>
      <c r="H251" s="17">
        <v>44278</v>
      </c>
      <c r="I251" s="18">
        <v>1000000</v>
      </c>
      <c r="J251" s="19">
        <v>1.25</v>
      </c>
      <c r="K251" s="16" t="s">
        <v>343</v>
      </c>
      <c r="L251" s="16" t="s">
        <v>20</v>
      </c>
      <c r="M251" s="16" t="s">
        <v>1354</v>
      </c>
      <c r="N251" s="16" t="s">
        <v>1355</v>
      </c>
    </row>
    <row r="252" spans="1:14" ht="20.100000000000001" customHeight="1" x14ac:dyDescent="0.25">
      <c r="A252" s="15" t="s">
        <v>1356</v>
      </c>
      <c r="B252" s="16" t="s">
        <v>24</v>
      </c>
      <c r="C252" s="15">
        <v>8303601</v>
      </c>
      <c r="D252" s="16" t="s">
        <v>25</v>
      </c>
      <c r="E252" s="15" t="s">
        <v>1357</v>
      </c>
      <c r="F252" s="21" t="str">
        <f>HYPERLINK("https://psearch.kitsapgov.com/webappa/index.html?parcelID=1306497&amp;Theme=Imagery","1306497")</f>
        <v>1306497</v>
      </c>
      <c r="G252" s="16" t="s">
        <v>1358</v>
      </c>
      <c r="H252" s="17">
        <v>44277</v>
      </c>
      <c r="I252" s="18">
        <v>1300000</v>
      </c>
      <c r="J252" s="19">
        <v>0.4</v>
      </c>
      <c r="K252" s="16" t="s">
        <v>421</v>
      </c>
      <c r="L252" s="16" t="s">
        <v>38</v>
      </c>
      <c r="M252" s="16" t="s">
        <v>1359</v>
      </c>
      <c r="N252" s="16" t="s">
        <v>1360</v>
      </c>
    </row>
    <row r="253" spans="1:14" ht="20.100000000000001" customHeight="1" x14ac:dyDescent="0.25">
      <c r="A253" s="15" t="s">
        <v>1361</v>
      </c>
      <c r="B253" s="16" t="s">
        <v>24</v>
      </c>
      <c r="C253" s="15">
        <v>8401102</v>
      </c>
      <c r="D253" s="16" t="s">
        <v>17</v>
      </c>
      <c r="E253" s="15" t="s">
        <v>1362</v>
      </c>
      <c r="F253" s="21" t="str">
        <f>HYPERLINK("https://psearch.kitsapgov.com/webappa/index.html?parcelID=2299444&amp;Theme=Imagery","2299444")</f>
        <v>2299444</v>
      </c>
      <c r="G253" s="16" t="s">
        <v>1363</v>
      </c>
      <c r="H253" s="17">
        <v>44284</v>
      </c>
      <c r="I253" s="18">
        <v>1012725</v>
      </c>
      <c r="J253" s="19">
        <v>0.24</v>
      </c>
      <c r="K253" s="16" t="s">
        <v>679</v>
      </c>
      <c r="L253" s="16" t="s">
        <v>20</v>
      </c>
      <c r="M253" s="16" t="s">
        <v>1364</v>
      </c>
      <c r="N253" s="16" t="s">
        <v>1365</v>
      </c>
    </row>
    <row r="254" spans="1:14" ht="20.100000000000001" customHeight="1" x14ac:dyDescent="0.25">
      <c r="A254" s="15" t="s">
        <v>1366</v>
      </c>
      <c r="B254" s="16" t="s">
        <v>24</v>
      </c>
      <c r="C254" s="15">
        <v>8401101</v>
      </c>
      <c r="D254" s="16" t="s">
        <v>305</v>
      </c>
      <c r="E254" s="15" t="s">
        <v>1367</v>
      </c>
      <c r="F254" s="21" t="str">
        <f>HYPERLINK("https://psearch.kitsapgov.com/webappa/index.html?parcelID=1238906&amp;Theme=Imagery","1238906")</f>
        <v>1238906</v>
      </c>
      <c r="G254" s="16" t="s">
        <v>1368</v>
      </c>
      <c r="H254" s="17">
        <v>44284</v>
      </c>
      <c r="I254" s="18">
        <v>1320000</v>
      </c>
      <c r="J254" s="19">
        <v>1.05</v>
      </c>
      <c r="K254" s="16" t="s">
        <v>308</v>
      </c>
      <c r="L254" s="16" t="s">
        <v>20</v>
      </c>
      <c r="M254" s="16" t="s">
        <v>1369</v>
      </c>
      <c r="N254" s="16" t="s">
        <v>1370</v>
      </c>
    </row>
    <row r="255" spans="1:14" ht="20.100000000000001" customHeight="1" x14ac:dyDescent="0.25">
      <c r="A255" s="15" t="s">
        <v>1371</v>
      </c>
      <c r="B255" s="16" t="s">
        <v>16</v>
      </c>
      <c r="C255" s="15">
        <v>8303601</v>
      </c>
      <c r="D255" s="16" t="s">
        <v>25</v>
      </c>
      <c r="E255" s="15" t="s">
        <v>1372</v>
      </c>
      <c r="F255" s="21" t="str">
        <f>HYPERLINK("https://psearch.kitsapgov.com/webappa/index.html?parcelID=2328342&amp;Theme=Imagery","2328342")</f>
        <v>2328342</v>
      </c>
      <c r="G255" s="16" t="s">
        <v>1373</v>
      </c>
      <c r="H255" s="17">
        <v>44291</v>
      </c>
      <c r="I255" s="18">
        <v>310000</v>
      </c>
      <c r="J255" s="19">
        <v>0</v>
      </c>
      <c r="L255" s="16" t="s">
        <v>20</v>
      </c>
      <c r="M255" s="16" t="s">
        <v>271</v>
      </c>
      <c r="N255" s="16" t="s">
        <v>1374</v>
      </c>
    </row>
    <row r="256" spans="1:14" ht="20.100000000000001" customHeight="1" x14ac:dyDescent="0.25">
      <c r="A256" s="15" t="s">
        <v>1375</v>
      </c>
      <c r="B256" s="16" t="s">
        <v>105</v>
      </c>
      <c r="C256" s="15">
        <v>8402405</v>
      </c>
      <c r="D256" s="16" t="s">
        <v>71</v>
      </c>
      <c r="E256" s="15" t="s">
        <v>1376</v>
      </c>
      <c r="F256" s="21" t="str">
        <f>HYPERLINK("https://psearch.kitsapgov.com/webappa/index.html?parcelID=2400950&amp;Theme=Imagery","2400950")</f>
        <v>2400950</v>
      </c>
      <c r="G256" s="16" t="s">
        <v>1377</v>
      </c>
      <c r="H256" s="17">
        <v>44291</v>
      </c>
      <c r="I256" s="18">
        <v>200000</v>
      </c>
      <c r="J256" s="19">
        <v>3.69</v>
      </c>
      <c r="K256" s="16" t="s">
        <v>82</v>
      </c>
      <c r="L256" s="16" t="s">
        <v>20</v>
      </c>
      <c r="M256" s="16" t="s">
        <v>1378</v>
      </c>
      <c r="N256" s="16" t="s">
        <v>1379</v>
      </c>
    </row>
    <row r="257" spans="1:14" ht="20.100000000000001" customHeight="1" x14ac:dyDescent="0.25">
      <c r="A257" s="15" t="s">
        <v>1380</v>
      </c>
      <c r="B257" s="16" t="s">
        <v>159</v>
      </c>
      <c r="C257" s="15">
        <v>8402307</v>
      </c>
      <c r="D257" s="16" t="s">
        <v>131</v>
      </c>
      <c r="E257" s="15" t="s">
        <v>1381</v>
      </c>
      <c r="F257" s="21" t="str">
        <f>HYPERLINK("https://psearch.kitsapgov.com/webappa/index.html?parcelID=2587905&amp;Theme=Imagery","2587905")</f>
        <v>2587905</v>
      </c>
      <c r="G257" s="16" t="s">
        <v>1382</v>
      </c>
      <c r="H257" s="17">
        <v>44278</v>
      </c>
      <c r="I257" s="18">
        <v>42280</v>
      </c>
      <c r="J257" s="19">
        <v>2.72</v>
      </c>
      <c r="K257" s="16" t="s">
        <v>368</v>
      </c>
      <c r="L257" s="16" t="s">
        <v>38</v>
      </c>
      <c r="M257" s="16" t="s">
        <v>1383</v>
      </c>
      <c r="N257" s="16" t="s">
        <v>1384</v>
      </c>
    </row>
    <row r="258" spans="1:14" ht="20.100000000000001" customHeight="1" x14ac:dyDescent="0.25">
      <c r="A258" s="15" t="s">
        <v>1385</v>
      </c>
      <c r="B258" s="16" t="s">
        <v>324</v>
      </c>
      <c r="C258" s="15">
        <v>8400302</v>
      </c>
      <c r="D258" s="16" t="s">
        <v>397</v>
      </c>
      <c r="E258" s="15" t="s">
        <v>1386</v>
      </c>
      <c r="F258" s="21" t="str">
        <f>HYPERLINK("https://psearch.kitsapgov.com/webappa/index.html?parcelID=1401751&amp;Theme=Imagery","1401751")</f>
        <v>1401751</v>
      </c>
      <c r="G258" s="16" t="s">
        <v>1387</v>
      </c>
      <c r="H258" s="17">
        <v>44281</v>
      </c>
      <c r="I258" s="18">
        <v>1000</v>
      </c>
      <c r="J258" s="19">
        <v>1.7</v>
      </c>
      <c r="K258" s="16" t="s">
        <v>679</v>
      </c>
      <c r="L258" s="16" t="s">
        <v>631</v>
      </c>
      <c r="M258" s="16" t="s">
        <v>1388</v>
      </c>
      <c r="N258" s="16" t="s">
        <v>907</v>
      </c>
    </row>
    <row r="259" spans="1:14" ht="20.100000000000001" customHeight="1" x14ac:dyDescent="0.25">
      <c r="A259" s="15" t="s">
        <v>1389</v>
      </c>
      <c r="B259" s="16" t="s">
        <v>317</v>
      </c>
      <c r="C259" s="15">
        <v>9100542</v>
      </c>
      <c r="D259" s="16" t="s">
        <v>360</v>
      </c>
      <c r="E259" s="15" t="s">
        <v>1390</v>
      </c>
      <c r="F259" s="21" t="str">
        <f>HYPERLINK("https://psearch.kitsapgov.com/webappa/index.html?parcelID=2453074&amp;Theme=Imagery","2453074")</f>
        <v>2453074</v>
      </c>
      <c r="G259" s="16" t="s">
        <v>1391</v>
      </c>
      <c r="H259" s="17">
        <v>44300</v>
      </c>
      <c r="I259" s="18">
        <v>861500</v>
      </c>
      <c r="J259" s="19">
        <v>0.36</v>
      </c>
      <c r="K259" s="16" t="s">
        <v>814</v>
      </c>
      <c r="L259" s="16" t="s">
        <v>20</v>
      </c>
      <c r="M259" s="16" t="s">
        <v>1392</v>
      </c>
      <c r="N259" s="16" t="s">
        <v>1393</v>
      </c>
    </row>
    <row r="260" spans="1:14" ht="20.100000000000001" customHeight="1" x14ac:dyDescent="0.25">
      <c r="A260" s="15" t="s">
        <v>1394</v>
      </c>
      <c r="B260" s="16" t="s">
        <v>24</v>
      </c>
      <c r="C260" s="15">
        <v>8402405</v>
      </c>
      <c r="D260" s="16" t="s">
        <v>71</v>
      </c>
      <c r="E260" s="15" t="s">
        <v>1395</v>
      </c>
      <c r="F260" s="21" t="str">
        <f>HYPERLINK("https://psearch.kitsapgov.com/webappa/index.html?parcelID=1853340&amp;Theme=Imagery","1853340")</f>
        <v>1853340</v>
      </c>
      <c r="G260" s="16" t="s">
        <v>1396</v>
      </c>
      <c r="H260" s="17">
        <v>44301</v>
      </c>
      <c r="I260" s="18">
        <v>475000</v>
      </c>
      <c r="J260" s="19">
        <v>1.04</v>
      </c>
      <c r="K260" s="16" t="s">
        <v>82</v>
      </c>
      <c r="L260" s="16" t="s">
        <v>20</v>
      </c>
      <c r="M260" s="16" t="s">
        <v>1397</v>
      </c>
      <c r="N260" s="16" t="s">
        <v>955</v>
      </c>
    </row>
    <row r="261" spans="1:14" ht="20.100000000000001" customHeight="1" x14ac:dyDescent="0.25">
      <c r="A261" s="15" t="s">
        <v>1398</v>
      </c>
      <c r="B261" s="16" t="s">
        <v>42</v>
      </c>
      <c r="C261" s="15">
        <v>8303601</v>
      </c>
      <c r="D261" s="16" t="s">
        <v>25</v>
      </c>
      <c r="E261" s="15" t="s">
        <v>1399</v>
      </c>
      <c r="F261" s="21" t="str">
        <f>HYPERLINK("https://psearch.kitsapgov.com/webappa/index.html?parcelID=2059798&amp;Theme=Imagery","2059798")</f>
        <v>2059798</v>
      </c>
      <c r="G261" s="16" t="s">
        <v>1400</v>
      </c>
      <c r="H261" s="17">
        <v>44302</v>
      </c>
      <c r="I261" s="18">
        <v>1250000</v>
      </c>
      <c r="J261" s="19">
        <v>0.44</v>
      </c>
      <c r="K261" s="16" t="s">
        <v>265</v>
      </c>
      <c r="L261" s="16" t="s">
        <v>20</v>
      </c>
      <c r="M261" s="16" t="s">
        <v>1401</v>
      </c>
      <c r="N261" s="16" t="s">
        <v>1402</v>
      </c>
    </row>
    <row r="262" spans="1:14" ht="20.100000000000001" customHeight="1" x14ac:dyDescent="0.25">
      <c r="A262" s="15" t="s">
        <v>1403</v>
      </c>
      <c r="B262" s="16" t="s">
        <v>292</v>
      </c>
      <c r="C262" s="15">
        <v>8401101</v>
      </c>
      <c r="D262" s="16" t="s">
        <v>305</v>
      </c>
      <c r="E262" s="15" t="s">
        <v>1404</v>
      </c>
      <c r="F262" s="21" t="str">
        <f>HYPERLINK("https://psearch.kitsapgov.com/webappa/index.html?parcelID=2652600&amp;Theme=Imagery","2652600")</f>
        <v>2652600</v>
      </c>
      <c r="G262" s="16" t="s">
        <v>1405</v>
      </c>
      <c r="H262" s="17">
        <v>44298</v>
      </c>
      <c r="I262" s="18">
        <v>615500</v>
      </c>
      <c r="J262" s="19">
        <v>0</v>
      </c>
      <c r="K262" s="16" t="s">
        <v>308</v>
      </c>
      <c r="L262" s="16" t="s">
        <v>20</v>
      </c>
      <c r="M262" s="16" t="s">
        <v>1406</v>
      </c>
      <c r="N262" s="16" t="s">
        <v>1407</v>
      </c>
    </row>
    <row r="263" spans="1:14" ht="20.100000000000001" customHeight="1" x14ac:dyDescent="0.25">
      <c r="A263" s="15" t="s">
        <v>1408</v>
      </c>
      <c r="B263" s="16" t="s">
        <v>209</v>
      </c>
      <c r="C263" s="15">
        <v>9100541</v>
      </c>
      <c r="D263" s="16" t="s">
        <v>186</v>
      </c>
      <c r="E263" s="15" t="s">
        <v>1409</v>
      </c>
      <c r="F263" s="21" t="str">
        <f>HYPERLINK("https://psearch.kitsapgov.com/webappa/index.html?parcelID=1464668&amp;Theme=Imagery","1464668")</f>
        <v>1464668</v>
      </c>
      <c r="G263" s="16" t="s">
        <v>1410</v>
      </c>
      <c r="H263" s="17">
        <v>44302</v>
      </c>
      <c r="I263" s="18">
        <v>625000</v>
      </c>
      <c r="J263" s="19">
        <v>0.2</v>
      </c>
      <c r="K263" s="16" t="s">
        <v>536</v>
      </c>
      <c r="L263" s="16" t="s">
        <v>20</v>
      </c>
      <c r="M263" s="16" t="s">
        <v>1411</v>
      </c>
      <c r="N263" s="16" t="s">
        <v>1412</v>
      </c>
    </row>
    <row r="264" spans="1:14" ht="20.100000000000001" customHeight="1" x14ac:dyDescent="0.25">
      <c r="A264" s="15" t="s">
        <v>1413</v>
      </c>
      <c r="B264" s="16" t="s">
        <v>24</v>
      </c>
      <c r="C264" s="15">
        <v>8400207</v>
      </c>
      <c r="D264" s="16" t="s">
        <v>298</v>
      </c>
      <c r="E264" s="15" t="s">
        <v>1414</v>
      </c>
      <c r="F264" s="21" t="str">
        <f>HYPERLINK("https://psearch.kitsapgov.com/webappa/index.html?parcelID=1329044&amp;Theme=Imagery","1329044")</f>
        <v>1329044</v>
      </c>
      <c r="G264" s="16" t="s">
        <v>1415</v>
      </c>
      <c r="H264" s="17">
        <v>44306</v>
      </c>
      <c r="I264" s="18">
        <v>365000</v>
      </c>
      <c r="J264" s="19">
        <v>1.02</v>
      </c>
      <c r="K264" s="16" t="s">
        <v>1017</v>
      </c>
      <c r="L264" s="16" t="s">
        <v>20</v>
      </c>
      <c r="M264" s="16" t="s">
        <v>1416</v>
      </c>
      <c r="N264" s="16" t="s">
        <v>1417</v>
      </c>
    </row>
    <row r="265" spans="1:14" ht="20.100000000000001" customHeight="1" x14ac:dyDescent="0.25">
      <c r="A265" s="15" t="s">
        <v>1418</v>
      </c>
      <c r="B265" s="16" t="s">
        <v>159</v>
      </c>
      <c r="C265" s="15">
        <v>8400202</v>
      </c>
      <c r="D265" s="16" t="s">
        <v>440</v>
      </c>
      <c r="E265" s="15" t="s">
        <v>1419</v>
      </c>
      <c r="F265" s="21" t="str">
        <f>HYPERLINK("https://psearch.kitsapgov.com/webappa/index.html?parcelID=1340637&amp;Theme=Imagery","1340637")</f>
        <v>1340637</v>
      </c>
      <c r="G265" s="16" t="s">
        <v>1420</v>
      </c>
      <c r="H265" s="17">
        <v>44308</v>
      </c>
      <c r="I265" s="18">
        <v>1400000</v>
      </c>
      <c r="J265" s="19">
        <v>0.76</v>
      </c>
      <c r="K265" s="16" t="s">
        <v>443</v>
      </c>
      <c r="L265" s="16" t="s">
        <v>94</v>
      </c>
      <c r="M265" s="16" t="s">
        <v>1421</v>
      </c>
      <c r="N265" s="16" t="s">
        <v>1422</v>
      </c>
    </row>
    <row r="266" spans="1:14" ht="20.100000000000001" customHeight="1" x14ac:dyDescent="0.25">
      <c r="A266" s="15" t="s">
        <v>1423</v>
      </c>
      <c r="B266" s="16" t="s">
        <v>185</v>
      </c>
      <c r="C266" s="15">
        <v>9402390</v>
      </c>
      <c r="D266" s="16" t="s">
        <v>173</v>
      </c>
      <c r="E266" s="15" t="s">
        <v>1424</v>
      </c>
      <c r="F266" s="21" t="str">
        <f>HYPERLINK("https://psearch.kitsapgov.com/webappa/index.html?parcelID=1039064&amp;Theme=Imagery","1039064")</f>
        <v>1039064</v>
      </c>
      <c r="G266" s="16" t="s">
        <v>1425</v>
      </c>
      <c r="H266" s="17">
        <v>44308</v>
      </c>
      <c r="I266" s="18">
        <v>850000</v>
      </c>
      <c r="J266" s="19">
        <v>0.24</v>
      </c>
      <c r="K266" s="16" t="s">
        <v>647</v>
      </c>
      <c r="L266" s="16" t="s">
        <v>20</v>
      </c>
      <c r="M266" s="16" t="s">
        <v>1426</v>
      </c>
      <c r="N266" s="16" t="s">
        <v>1427</v>
      </c>
    </row>
    <row r="267" spans="1:14" ht="20.100000000000001" customHeight="1" x14ac:dyDescent="0.25">
      <c r="A267" s="15" t="s">
        <v>1428</v>
      </c>
      <c r="B267" s="16" t="s">
        <v>70</v>
      </c>
      <c r="C267" s="15">
        <v>9402407</v>
      </c>
      <c r="D267" s="16" t="s">
        <v>223</v>
      </c>
      <c r="E267" s="15" t="s">
        <v>1429</v>
      </c>
      <c r="F267" s="21" t="str">
        <f>HYPERLINK("https://psearch.kitsapgov.com/webappa/index.html?parcelID=2155943&amp;Theme=Imagery","2155943")</f>
        <v>2155943</v>
      </c>
      <c r="G267" s="16" t="s">
        <v>1430</v>
      </c>
      <c r="H267" s="17">
        <v>44315</v>
      </c>
      <c r="I267" s="18">
        <v>275000</v>
      </c>
      <c r="J267" s="19">
        <v>0.16</v>
      </c>
      <c r="K267" s="16" t="s">
        <v>37</v>
      </c>
      <c r="L267" s="16" t="s">
        <v>20</v>
      </c>
      <c r="M267" s="16" t="s">
        <v>1431</v>
      </c>
      <c r="N267" s="16" t="s">
        <v>1432</v>
      </c>
    </row>
    <row r="268" spans="1:14" ht="20.100000000000001" customHeight="1" x14ac:dyDescent="0.25">
      <c r="A268" s="15" t="s">
        <v>1433</v>
      </c>
      <c r="B268" s="16" t="s">
        <v>70</v>
      </c>
      <c r="C268" s="15">
        <v>8100502</v>
      </c>
      <c r="D268" s="16" t="s">
        <v>142</v>
      </c>
      <c r="E268" s="15" t="s">
        <v>1434</v>
      </c>
      <c r="F268" s="21" t="str">
        <f>HYPERLINK("https://psearch.kitsapgov.com/webappa/index.html?parcelID=1471747&amp;Theme=Imagery","1471747")</f>
        <v>1471747</v>
      </c>
      <c r="G268" s="16" t="s">
        <v>1435</v>
      </c>
      <c r="H268" s="17">
        <v>44313</v>
      </c>
      <c r="I268" s="18">
        <v>1100000</v>
      </c>
      <c r="J268" s="19">
        <v>1.24</v>
      </c>
      <c r="K268" s="16" t="s">
        <v>145</v>
      </c>
      <c r="L268" s="16" t="s">
        <v>38</v>
      </c>
      <c r="M268" s="16" t="s">
        <v>1436</v>
      </c>
      <c r="N268" s="16" t="s">
        <v>1437</v>
      </c>
    </row>
    <row r="269" spans="1:14" ht="20.100000000000001" customHeight="1" x14ac:dyDescent="0.25">
      <c r="A269" s="15" t="s">
        <v>1438</v>
      </c>
      <c r="B269" s="16" t="s">
        <v>202</v>
      </c>
      <c r="C269" s="15">
        <v>9402395</v>
      </c>
      <c r="D269" s="16" t="s">
        <v>1216</v>
      </c>
      <c r="E269" s="15" t="s">
        <v>1439</v>
      </c>
      <c r="F269" s="21" t="str">
        <f>HYPERLINK("https://psearch.kitsapgov.com/webappa/index.html?parcelID=1508183&amp;Theme=Imagery","1508183")</f>
        <v>1508183</v>
      </c>
      <c r="G269" s="16" t="s">
        <v>1440</v>
      </c>
      <c r="H269" s="17">
        <v>44313</v>
      </c>
      <c r="I269" s="18">
        <v>600000</v>
      </c>
      <c r="J269" s="19">
        <v>0.12</v>
      </c>
      <c r="K269" s="16" t="s">
        <v>647</v>
      </c>
      <c r="L269" s="16" t="s">
        <v>190</v>
      </c>
      <c r="M269" s="16" t="s">
        <v>1441</v>
      </c>
      <c r="N269" s="16" t="s">
        <v>1442</v>
      </c>
    </row>
    <row r="270" spans="1:14" ht="20.100000000000001" customHeight="1" x14ac:dyDescent="0.25">
      <c r="A270" s="15" t="s">
        <v>1443</v>
      </c>
      <c r="B270" s="16" t="s">
        <v>765</v>
      </c>
      <c r="C270" s="15">
        <v>9402390</v>
      </c>
      <c r="D270" s="16" t="s">
        <v>173</v>
      </c>
      <c r="E270" s="15" t="s">
        <v>1444</v>
      </c>
      <c r="F270" s="21" t="str">
        <f>HYPERLINK("https://psearch.kitsapgov.com/webappa/index.html?parcelID=2033959&amp;Theme=Imagery","2033959")</f>
        <v>2033959</v>
      </c>
      <c r="G270" s="16" t="s">
        <v>1445</v>
      </c>
      <c r="H270" s="17">
        <v>44315</v>
      </c>
      <c r="I270" s="18">
        <v>3760870</v>
      </c>
      <c r="J270" s="19">
        <v>2.42</v>
      </c>
      <c r="K270" s="16" t="s">
        <v>912</v>
      </c>
      <c r="L270" s="16" t="s">
        <v>38</v>
      </c>
      <c r="M270" s="16" t="s">
        <v>1446</v>
      </c>
      <c r="N270" s="16" t="s">
        <v>1447</v>
      </c>
    </row>
    <row r="271" spans="1:14" ht="20.100000000000001" customHeight="1" x14ac:dyDescent="0.25">
      <c r="A271" s="15" t="s">
        <v>1448</v>
      </c>
      <c r="B271" s="16" t="s">
        <v>615</v>
      </c>
      <c r="C271" s="15">
        <v>9402390</v>
      </c>
      <c r="D271" s="16" t="s">
        <v>173</v>
      </c>
      <c r="E271" s="15" t="s">
        <v>1449</v>
      </c>
      <c r="F271" s="21" t="str">
        <f>HYPERLINK("https://psearch.kitsapgov.com/webappa/index.html?parcelID=1719327&amp;Theme=Imagery","1719327")</f>
        <v>1719327</v>
      </c>
      <c r="G271" s="16" t="s">
        <v>1450</v>
      </c>
      <c r="H271" s="17">
        <v>44315</v>
      </c>
      <c r="I271" s="18">
        <v>1692390</v>
      </c>
      <c r="J271" s="19">
        <v>1.62</v>
      </c>
      <c r="K271" s="16" t="s">
        <v>912</v>
      </c>
      <c r="L271" s="16" t="s">
        <v>38</v>
      </c>
      <c r="M271" s="16" t="s">
        <v>1451</v>
      </c>
      <c r="N271" s="16" t="s">
        <v>1452</v>
      </c>
    </row>
    <row r="272" spans="1:14" ht="20.100000000000001" customHeight="1" x14ac:dyDescent="0.25">
      <c r="A272" s="15" t="s">
        <v>1453</v>
      </c>
      <c r="B272" s="16" t="s">
        <v>1244</v>
      </c>
      <c r="C272" s="15">
        <v>8100502</v>
      </c>
      <c r="D272" s="16" t="s">
        <v>142</v>
      </c>
      <c r="E272" s="15" t="s">
        <v>1454</v>
      </c>
      <c r="F272" s="21" t="str">
        <f>HYPERLINK("https://psearch.kitsapgov.com/webappa/index.html?parcelID=1151935&amp;Theme=Imagery","1151935")</f>
        <v>1151935</v>
      </c>
      <c r="G272" s="16" t="s">
        <v>1455</v>
      </c>
      <c r="H272" s="17">
        <v>44315</v>
      </c>
      <c r="I272" s="18">
        <v>1065000</v>
      </c>
      <c r="J272" s="19">
        <v>0.5</v>
      </c>
      <c r="K272" s="16" t="s">
        <v>168</v>
      </c>
      <c r="L272" s="16" t="s">
        <v>38</v>
      </c>
      <c r="M272" s="16" t="s">
        <v>1456</v>
      </c>
      <c r="N272" s="16" t="s">
        <v>1457</v>
      </c>
    </row>
    <row r="273" spans="1:14" ht="20.100000000000001" customHeight="1" x14ac:dyDescent="0.25">
      <c r="A273" s="15" t="s">
        <v>1458</v>
      </c>
      <c r="B273" s="16" t="s">
        <v>1459</v>
      </c>
      <c r="C273" s="15">
        <v>8402307</v>
      </c>
      <c r="D273" s="16" t="s">
        <v>131</v>
      </c>
      <c r="E273" s="15" t="s">
        <v>1460</v>
      </c>
      <c r="F273" s="21" t="str">
        <f>HYPERLINK("https://psearch.kitsapgov.com/webappa/index.html?parcelID=2125847&amp;Theme=Imagery","2125847")</f>
        <v>2125847</v>
      </c>
      <c r="G273" s="16" t="s">
        <v>1461</v>
      </c>
      <c r="H273" s="17">
        <v>44316</v>
      </c>
      <c r="I273" s="18">
        <v>775000</v>
      </c>
      <c r="J273" s="19">
        <v>0.26</v>
      </c>
      <c r="K273" s="16" t="s">
        <v>37</v>
      </c>
      <c r="L273" s="16" t="s">
        <v>20</v>
      </c>
      <c r="M273" s="16" t="s">
        <v>1462</v>
      </c>
      <c r="N273" s="16" t="s">
        <v>1463</v>
      </c>
    </row>
    <row r="274" spans="1:14" ht="20.100000000000001" customHeight="1" x14ac:dyDescent="0.25">
      <c r="A274" s="15" t="s">
        <v>1464</v>
      </c>
      <c r="B274" s="16" t="s">
        <v>209</v>
      </c>
      <c r="C274" s="15">
        <v>8402306</v>
      </c>
      <c r="D274" s="16" t="s">
        <v>621</v>
      </c>
      <c r="E274" s="15" t="s">
        <v>1465</v>
      </c>
      <c r="F274" s="21" t="str">
        <f>HYPERLINK("https://psearch.kitsapgov.com/webappa/index.html?parcelID=1508951&amp;Theme=Imagery","1508951")</f>
        <v>1508951</v>
      </c>
      <c r="G274" s="16" t="s">
        <v>1466</v>
      </c>
      <c r="H274" s="17">
        <v>44321</v>
      </c>
      <c r="I274" s="18">
        <v>900000</v>
      </c>
      <c r="J274" s="19">
        <v>0.12</v>
      </c>
      <c r="K274" s="16" t="s">
        <v>624</v>
      </c>
      <c r="L274" s="16" t="s">
        <v>20</v>
      </c>
      <c r="M274" s="16" t="s">
        <v>1467</v>
      </c>
      <c r="N274" s="16" t="s">
        <v>1468</v>
      </c>
    </row>
    <row r="275" spans="1:14" ht="20.100000000000001" customHeight="1" x14ac:dyDescent="0.25">
      <c r="A275" s="15" t="s">
        <v>1469</v>
      </c>
      <c r="B275" s="16" t="s">
        <v>285</v>
      </c>
      <c r="C275" s="15">
        <v>8100506</v>
      </c>
      <c r="D275" s="16" t="s">
        <v>286</v>
      </c>
      <c r="E275" s="15" t="s">
        <v>1470</v>
      </c>
      <c r="F275" s="21" t="str">
        <f>HYPERLINK("https://psearch.kitsapgov.com/webappa/index.html?parcelID=1493790&amp;Theme=Imagery","1493790")</f>
        <v>1493790</v>
      </c>
      <c r="G275" s="16" t="s">
        <v>1471</v>
      </c>
      <c r="H275" s="17">
        <v>44321</v>
      </c>
      <c r="I275" s="18">
        <v>1700000</v>
      </c>
      <c r="J275" s="19">
        <v>0.85</v>
      </c>
      <c r="K275" s="16" t="s">
        <v>168</v>
      </c>
      <c r="L275" s="16" t="s">
        <v>20</v>
      </c>
      <c r="M275" s="16" t="s">
        <v>1472</v>
      </c>
      <c r="N275" s="16" t="s">
        <v>1473</v>
      </c>
    </row>
    <row r="276" spans="1:14" ht="20.100000000000001" customHeight="1" x14ac:dyDescent="0.25">
      <c r="A276" s="15" t="s">
        <v>1474</v>
      </c>
      <c r="B276" s="16" t="s">
        <v>317</v>
      </c>
      <c r="C276" s="15">
        <v>9100592</v>
      </c>
      <c r="D276" s="16" t="s">
        <v>916</v>
      </c>
      <c r="E276" s="15" t="s">
        <v>1475</v>
      </c>
      <c r="F276" s="21" t="str">
        <f>HYPERLINK("https://psearch.kitsapgov.com/webappa/index.html?parcelID=2189082&amp;Theme=Imagery","2189082")</f>
        <v>2189082</v>
      </c>
      <c r="G276" s="16" t="s">
        <v>1476</v>
      </c>
      <c r="H276" s="17">
        <v>44322</v>
      </c>
      <c r="I276" s="18">
        <v>495000</v>
      </c>
      <c r="J276" s="19">
        <v>0.3</v>
      </c>
      <c r="K276" s="16" t="s">
        <v>912</v>
      </c>
      <c r="L276" s="16" t="s">
        <v>20</v>
      </c>
      <c r="M276" s="16" t="s">
        <v>1477</v>
      </c>
      <c r="N276" s="16" t="s">
        <v>1478</v>
      </c>
    </row>
    <row r="277" spans="1:14" ht="20.100000000000001" customHeight="1" x14ac:dyDescent="0.25">
      <c r="A277" s="15" t="s">
        <v>1479</v>
      </c>
      <c r="B277" s="16" t="s">
        <v>285</v>
      </c>
      <c r="C277" s="15">
        <v>8100506</v>
      </c>
      <c r="D277" s="16" t="s">
        <v>286</v>
      </c>
      <c r="E277" s="15" t="s">
        <v>1470</v>
      </c>
      <c r="F277" s="21" t="str">
        <f>HYPERLINK("https://psearch.kitsapgov.com/webappa/index.html?parcelID=1493790&amp;Theme=Imagery","1493790")</f>
        <v>1493790</v>
      </c>
      <c r="G277" s="16" t="s">
        <v>1471</v>
      </c>
      <c r="H277" s="17">
        <v>44322</v>
      </c>
      <c r="I277" s="18">
        <v>3212871</v>
      </c>
      <c r="J277" s="19">
        <v>0.85</v>
      </c>
      <c r="K277" s="16" t="s">
        <v>168</v>
      </c>
      <c r="L277" s="16" t="s">
        <v>38</v>
      </c>
      <c r="M277" s="16" t="s">
        <v>1473</v>
      </c>
      <c r="N277" s="16" t="s">
        <v>1480</v>
      </c>
    </row>
    <row r="278" spans="1:14" ht="20.100000000000001" customHeight="1" x14ac:dyDescent="0.25">
      <c r="A278" s="15" t="s">
        <v>1481</v>
      </c>
      <c r="B278" s="16" t="s">
        <v>98</v>
      </c>
      <c r="C278" s="15">
        <v>8303660</v>
      </c>
      <c r="D278" s="16" t="s">
        <v>252</v>
      </c>
      <c r="E278" s="15" t="s">
        <v>1482</v>
      </c>
      <c r="F278" s="21" t="str">
        <f>HYPERLINK("https://psearch.kitsapgov.com/webappa/index.html?parcelID=1881887&amp;Theme=Imagery","1881887")</f>
        <v>1881887</v>
      </c>
      <c r="G278" s="16" t="s">
        <v>1483</v>
      </c>
      <c r="H278" s="17">
        <v>44323</v>
      </c>
      <c r="I278" s="18">
        <v>193000</v>
      </c>
      <c r="J278" s="19">
        <v>0</v>
      </c>
      <c r="L278" s="16" t="s">
        <v>20</v>
      </c>
      <c r="M278" s="16" t="s">
        <v>1484</v>
      </c>
      <c r="N278" s="16" t="s">
        <v>1485</v>
      </c>
    </row>
    <row r="279" spans="1:14" ht="20.100000000000001" customHeight="1" x14ac:dyDescent="0.25">
      <c r="A279" s="15" t="s">
        <v>1486</v>
      </c>
      <c r="B279" s="16" t="s">
        <v>78</v>
      </c>
      <c r="C279" s="15">
        <v>8401508</v>
      </c>
      <c r="D279" s="16" t="s">
        <v>1341</v>
      </c>
      <c r="E279" s="15" t="s">
        <v>1487</v>
      </c>
      <c r="F279" s="21" t="str">
        <f>HYPERLINK("https://psearch.kitsapgov.com/webappa/index.html?parcelID=1261627&amp;Theme=Imagery","1261627")</f>
        <v>1261627</v>
      </c>
      <c r="G279" s="16" t="s">
        <v>1488</v>
      </c>
      <c r="H279" s="17">
        <v>44326</v>
      </c>
      <c r="I279" s="18">
        <v>225786</v>
      </c>
      <c r="J279" s="19">
        <v>4.58</v>
      </c>
      <c r="K279" s="16" t="s">
        <v>37</v>
      </c>
      <c r="L279" s="16" t="s">
        <v>94</v>
      </c>
      <c r="M279" s="16" t="s">
        <v>1489</v>
      </c>
      <c r="N279" s="16" t="s">
        <v>1490</v>
      </c>
    </row>
    <row r="280" spans="1:14" ht="20.100000000000001" customHeight="1" x14ac:dyDescent="0.25">
      <c r="A280" s="15" t="s">
        <v>1491</v>
      </c>
      <c r="B280" s="16" t="s">
        <v>78</v>
      </c>
      <c r="C280" s="15">
        <v>8401508</v>
      </c>
      <c r="D280" s="16" t="s">
        <v>1341</v>
      </c>
      <c r="E280" s="15" t="s">
        <v>1487</v>
      </c>
      <c r="F280" s="21" t="str">
        <f>HYPERLINK("https://psearch.kitsapgov.com/webappa/index.html?parcelID=1261627&amp;Theme=Imagery","1261627")</f>
        <v>1261627</v>
      </c>
      <c r="G280" s="16" t="s">
        <v>1488</v>
      </c>
      <c r="H280" s="17">
        <v>44326</v>
      </c>
      <c r="I280" s="18">
        <v>499000</v>
      </c>
      <c r="J280" s="19">
        <v>4.58</v>
      </c>
      <c r="K280" s="16" t="s">
        <v>37</v>
      </c>
      <c r="L280" s="16" t="s">
        <v>20</v>
      </c>
      <c r="M280" s="16" t="s">
        <v>1490</v>
      </c>
      <c r="N280" s="16" t="s">
        <v>1492</v>
      </c>
    </row>
    <row r="281" spans="1:14" ht="20.100000000000001" customHeight="1" x14ac:dyDescent="0.25">
      <c r="A281" s="15" t="s">
        <v>1493</v>
      </c>
      <c r="B281" s="16" t="s">
        <v>159</v>
      </c>
      <c r="C281" s="15">
        <v>8100505</v>
      </c>
      <c r="D281" s="16" t="s">
        <v>670</v>
      </c>
      <c r="E281" s="15" t="s">
        <v>1494</v>
      </c>
      <c r="F281" s="21" t="str">
        <f>HYPERLINK("https://psearch.kitsapgov.com/webappa/index.html?parcelID=1496710&amp;Theme=Imagery","1496710")</f>
        <v>1496710</v>
      </c>
      <c r="G281" s="16" t="s">
        <v>1495</v>
      </c>
      <c r="H281" s="17">
        <v>44327</v>
      </c>
      <c r="I281" s="18">
        <v>485000</v>
      </c>
      <c r="J281" s="19">
        <v>0.28000000000000003</v>
      </c>
      <c r="K281" s="16" t="s">
        <v>673</v>
      </c>
      <c r="L281" s="16" t="s">
        <v>20</v>
      </c>
      <c r="M281" s="16" t="s">
        <v>1496</v>
      </c>
      <c r="N281" s="16" t="s">
        <v>1497</v>
      </c>
    </row>
    <row r="282" spans="1:14" ht="20.100000000000001" customHeight="1" x14ac:dyDescent="0.25">
      <c r="A282" s="15" t="s">
        <v>1498</v>
      </c>
      <c r="B282" s="16" t="s">
        <v>1044</v>
      </c>
      <c r="C282" s="15">
        <v>9100541</v>
      </c>
      <c r="D282" s="16" t="s">
        <v>186</v>
      </c>
      <c r="E282" s="15" t="s">
        <v>1499</v>
      </c>
      <c r="F282" s="21" t="str">
        <f>HYPERLINK("https://psearch.kitsapgov.com/webappa/index.html?parcelID=1158898&amp;Theme=Imagery","1158898")</f>
        <v>1158898</v>
      </c>
      <c r="G282" s="16" t="s">
        <v>1500</v>
      </c>
      <c r="H282" s="17">
        <v>44323</v>
      </c>
      <c r="I282" s="18">
        <v>2612187</v>
      </c>
      <c r="J282" s="19">
        <v>2.29</v>
      </c>
      <c r="K282" s="16" t="s">
        <v>377</v>
      </c>
      <c r="L282" s="16" t="s">
        <v>1501</v>
      </c>
      <c r="M282" s="16" t="s">
        <v>1502</v>
      </c>
      <c r="N282" s="16" t="s">
        <v>1503</v>
      </c>
    </row>
    <row r="283" spans="1:14" ht="20.100000000000001" customHeight="1" x14ac:dyDescent="0.25">
      <c r="A283" s="15" t="s">
        <v>1504</v>
      </c>
      <c r="B283" s="16" t="s">
        <v>1044</v>
      </c>
      <c r="C283" s="15">
        <v>8100505</v>
      </c>
      <c r="D283" s="16" t="s">
        <v>670</v>
      </c>
      <c r="E283" s="15" t="s">
        <v>1505</v>
      </c>
      <c r="F283" s="21" t="str">
        <f>HYPERLINK("https://psearch.kitsapgov.com/webappa/index.html?parcelID=1490341&amp;Theme=Imagery","1490341")</f>
        <v>1490341</v>
      </c>
      <c r="G283" s="16" t="s">
        <v>1506</v>
      </c>
      <c r="H283" s="17">
        <v>44323</v>
      </c>
      <c r="I283" s="18">
        <v>3207187</v>
      </c>
      <c r="J283" s="19">
        <v>2.92</v>
      </c>
      <c r="K283" s="16" t="s">
        <v>673</v>
      </c>
      <c r="L283" s="16" t="s">
        <v>1501</v>
      </c>
      <c r="M283" s="16" t="s">
        <v>1507</v>
      </c>
      <c r="N283" s="16" t="s">
        <v>1508</v>
      </c>
    </row>
    <row r="284" spans="1:14" ht="20.100000000000001" customHeight="1" x14ac:dyDescent="0.25">
      <c r="A284" s="15" t="s">
        <v>1509</v>
      </c>
      <c r="B284" s="16" t="s">
        <v>834</v>
      </c>
      <c r="C284" s="15">
        <v>8402408</v>
      </c>
      <c r="D284" s="16" t="s">
        <v>160</v>
      </c>
      <c r="E284" s="15" t="s">
        <v>1510</v>
      </c>
      <c r="F284" s="21" t="str">
        <f>HYPERLINK("https://psearch.kitsapgov.com/webappa/index.html?parcelID=1170281&amp;Theme=Imagery","1170281")</f>
        <v>1170281</v>
      </c>
      <c r="G284" s="16" t="s">
        <v>1511</v>
      </c>
      <c r="H284" s="17">
        <v>44323</v>
      </c>
      <c r="I284" s="18">
        <v>10000</v>
      </c>
      <c r="J284" s="19">
        <v>1.53</v>
      </c>
      <c r="K284" s="16" t="s">
        <v>1163</v>
      </c>
      <c r="L284" s="16" t="s">
        <v>944</v>
      </c>
      <c r="M284" s="16" t="s">
        <v>1512</v>
      </c>
      <c r="N284" s="16" t="s">
        <v>1513</v>
      </c>
    </row>
    <row r="285" spans="1:14" ht="20.100000000000001" customHeight="1" x14ac:dyDescent="0.25">
      <c r="A285" s="15" t="s">
        <v>1514</v>
      </c>
      <c r="B285" s="16" t="s">
        <v>130</v>
      </c>
      <c r="C285" s="15">
        <v>8400302</v>
      </c>
      <c r="D285" s="16" t="s">
        <v>397</v>
      </c>
      <c r="E285" s="15" t="s">
        <v>1515</v>
      </c>
      <c r="F285" s="21" t="str">
        <f>HYPERLINK("https://psearch.kitsapgov.com/webappa/index.html?parcelID=2327807&amp;Theme=Imagery","2327807")</f>
        <v>2327807</v>
      </c>
      <c r="G285" s="16" t="s">
        <v>1516</v>
      </c>
      <c r="H285" s="17">
        <v>44322</v>
      </c>
      <c r="I285" s="18">
        <v>1000</v>
      </c>
      <c r="J285" s="19">
        <v>0.85</v>
      </c>
      <c r="K285" s="16" t="s">
        <v>679</v>
      </c>
      <c r="L285" s="16" t="s">
        <v>631</v>
      </c>
      <c r="M285" s="16" t="s">
        <v>1517</v>
      </c>
      <c r="N285" s="16" t="s">
        <v>907</v>
      </c>
    </row>
    <row r="286" spans="1:14" ht="20.100000000000001" customHeight="1" x14ac:dyDescent="0.25">
      <c r="A286" s="15" t="s">
        <v>1518</v>
      </c>
      <c r="B286" s="16" t="s">
        <v>48</v>
      </c>
      <c r="C286" s="15">
        <v>8401101</v>
      </c>
      <c r="D286" s="16" t="s">
        <v>305</v>
      </c>
      <c r="E286" s="15" t="s">
        <v>1519</v>
      </c>
      <c r="F286" s="21" t="str">
        <f>HYPERLINK("https://psearch.kitsapgov.com/webappa/index.html?parcelID=2660363&amp;Theme=Imagery","2660363")</f>
        <v>2660363</v>
      </c>
      <c r="G286" s="16" t="s">
        <v>1520</v>
      </c>
      <c r="H286" s="17">
        <v>44257</v>
      </c>
      <c r="I286" s="18">
        <v>3800</v>
      </c>
      <c r="J286" s="19">
        <v>7.18</v>
      </c>
      <c r="K286" s="16" t="s">
        <v>37</v>
      </c>
      <c r="L286" s="16" t="s">
        <v>94</v>
      </c>
      <c r="M286" s="16" t="s">
        <v>1521</v>
      </c>
      <c r="N286" s="16" t="s">
        <v>1522</v>
      </c>
    </row>
    <row r="287" spans="1:14" ht="20.100000000000001" customHeight="1" x14ac:dyDescent="0.25">
      <c r="A287" s="15" t="s">
        <v>1523</v>
      </c>
      <c r="B287" s="16" t="s">
        <v>159</v>
      </c>
      <c r="C287" s="15">
        <v>8400203</v>
      </c>
      <c r="D287" s="16" t="s">
        <v>353</v>
      </c>
      <c r="E287" s="15" t="s">
        <v>1524</v>
      </c>
      <c r="F287" s="21" t="str">
        <f>HYPERLINK("https://psearch.kitsapgov.com/webappa/index.html?parcelID=2028975&amp;Theme=Imagery","2028975")</f>
        <v>2028975</v>
      </c>
      <c r="G287" s="16" t="s">
        <v>1525</v>
      </c>
      <c r="H287" s="17">
        <v>44343</v>
      </c>
      <c r="I287" s="18">
        <v>200000</v>
      </c>
      <c r="J287" s="19">
        <v>0.92</v>
      </c>
      <c r="K287" s="16" t="s">
        <v>356</v>
      </c>
      <c r="L287" s="16" t="s">
        <v>38</v>
      </c>
      <c r="M287" s="16" t="s">
        <v>1526</v>
      </c>
      <c r="N287" s="16" t="s">
        <v>1527</v>
      </c>
    </row>
    <row r="288" spans="1:14" ht="20.100000000000001" customHeight="1" x14ac:dyDescent="0.25">
      <c r="A288" s="15" t="s">
        <v>1528</v>
      </c>
      <c r="B288" s="16" t="s">
        <v>209</v>
      </c>
      <c r="C288" s="15">
        <v>8400203</v>
      </c>
      <c r="D288" s="16" t="s">
        <v>353</v>
      </c>
      <c r="E288" s="15" t="s">
        <v>1529</v>
      </c>
      <c r="F288" s="21" t="str">
        <f>HYPERLINK("https://psearch.kitsapgov.com/webappa/index.html?parcelID=1334861&amp;Theme=Imagery","1334861")</f>
        <v>1334861</v>
      </c>
      <c r="G288" s="16" t="s">
        <v>1530</v>
      </c>
      <c r="H288" s="17">
        <v>44343</v>
      </c>
      <c r="I288" s="18">
        <v>200000</v>
      </c>
      <c r="J288" s="19">
        <v>0.61</v>
      </c>
      <c r="K288" s="16" t="s">
        <v>356</v>
      </c>
      <c r="L288" s="16" t="s">
        <v>38</v>
      </c>
      <c r="M288" s="16" t="s">
        <v>1526</v>
      </c>
      <c r="N288" s="16" t="s">
        <v>1531</v>
      </c>
    </row>
    <row r="289" spans="1:14" ht="20.100000000000001" customHeight="1" x14ac:dyDescent="0.25">
      <c r="A289" s="15" t="s">
        <v>1532</v>
      </c>
      <c r="B289" s="16" t="s">
        <v>98</v>
      </c>
      <c r="C289" s="15">
        <v>8400206</v>
      </c>
      <c r="D289" s="16" t="s">
        <v>99</v>
      </c>
      <c r="E289" s="15" t="s">
        <v>566</v>
      </c>
      <c r="F289" s="21" t="str">
        <f>HYPERLINK("https://psearch.kitsapgov.com/webappa/index.html?parcelID=2071009&amp;Theme=Imagery","2071009")</f>
        <v>2071009</v>
      </c>
      <c r="G289" s="16" t="s">
        <v>567</v>
      </c>
      <c r="H289" s="17">
        <v>44340</v>
      </c>
      <c r="I289" s="18">
        <v>52000</v>
      </c>
      <c r="J289" s="19">
        <v>0</v>
      </c>
      <c r="L289" s="16" t="s">
        <v>20</v>
      </c>
      <c r="M289" s="16" t="s">
        <v>1533</v>
      </c>
      <c r="N289" s="16" t="s">
        <v>1534</v>
      </c>
    </row>
    <row r="290" spans="1:14" ht="20.100000000000001" customHeight="1" x14ac:dyDescent="0.25">
      <c r="A290" s="15" t="s">
        <v>1535</v>
      </c>
      <c r="B290" s="16" t="s">
        <v>78</v>
      </c>
      <c r="C290" s="15">
        <v>9402395</v>
      </c>
      <c r="D290" s="16" t="s">
        <v>1216</v>
      </c>
      <c r="E290" s="15" t="s">
        <v>1536</v>
      </c>
      <c r="F290" s="21" t="str">
        <f>HYPERLINK("https://psearch.kitsapgov.com/webappa/index.html?parcelID=1738848&amp;Theme=Imagery","1738848")</f>
        <v>1738848</v>
      </c>
      <c r="G290" s="16" t="s">
        <v>1537</v>
      </c>
      <c r="H290" s="17">
        <v>44336</v>
      </c>
      <c r="I290" s="18">
        <v>850000</v>
      </c>
      <c r="J290" s="19">
        <v>0.16</v>
      </c>
      <c r="K290" s="16" t="s">
        <v>1538</v>
      </c>
      <c r="L290" s="16" t="s">
        <v>20</v>
      </c>
      <c r="M290" s="16" t="s">
        <v>1539</v>
      </c>
      <c r="N290" s="16" t="s">
        <v>1540</v>
      </c>
    </row>
    <row r="291" spans="1:14" ht="20.100000000000001" customHeight="1" x14ac:dyDescent="0.25">
      <c r="A291" s="15" t="s">
        <v>1541</v>
      </c>
      <c r="B291" s="16" t="s">
        <v>172</v>
      </c>
      <c r="C291" s="15">
        <v>9402390</v>
      </c>
      <c r="D291" s="16" t="s">
        <v>173</v>
      </c>
      <c r="E291" s="15" t="s">
        <v>174</v>
      </c>
      <c r="F291" s="21" t="str">
        <f>HYPERLINK("https://psearch.kitsapgov.com/webappa/index.html?parcelID=1768001&amp;Theme=Imagery","1768001")</f>
        <v>1768001</v>
      </c>
      <c r="G291" s="16" t="s">
        <v>175</v>
      </c>
      <c r="H291" s="17">
        <v>44341</v>
      </c>
      <c r="I291" s="18">
        <v>1875000</v>
      </c>
      <c r="J291" s="19">
        <v>0.44</v>
      </c>
      <c r="K291" s="16" t="s">
        <v>176</v>
      </c>
      <c r="L291" s="16" t="s">
        <v>38</v>
      </c>
      <c r="M291" s="16" t="s">
        <v>178</v>
      </c>
      <c r="N291" s="16" t="s">
        <v>1542</v>
      </c>
    </row>
    <row r="292" spans="1:14" ht="20.100000000000001" customHeight="1" x14ac:dyDescent="0.25">
      <c r="A292" s="15" t="s">
        <v>1543</v>
      </c>
      <c r="B292" s="16" t="s">
        <v>209</v>
      </c>
      <c r="C292" s="15">
        <v>9400203</v>
      </c>
      <c r="D292" s="16" t="s">
        <v>49</v>
      </c>
      <c r="E292" s="15" t="s">
        <v>1544</v>
      </c>
      <c r="F292" s="21" t="str">
        <f>HYPERLINK("https://psearch.kitsapgov.com/webappa/index.html?parcelID=2460897&amp;Theme=Imagery","2460897")</f>
        <v>2460897</v>
      </c>
      <c r="G292" s="16" t="s">
        <v>1545</v>
      </c>
      <c r="H292" s="17">
        <v>44342</v>
      </c>
      <c r="I292" s="18">
        <v>520000</v>
      </c>
      <c r="J292" s="19">
        <v>0.05</v>
      </c>
      <c r="K292" s="16" t="s">
        <v>1546</v>
      </c>
      <c r="L292" s="16" t="s">
        <v>20</v>
      </c>
      <c r="M292" s="16" t="s">
        <v>1547</v>
      </c>
      <c r="N292" s="16" t="s">
        <v>1548</v>
      </c>
    </row>
    <row r="293" spans="1:14" ht="20.100000000000001" customHeight="1" x14ac:dyDescent="0.25">
      <c r="A293" s="15" t="s">
        <v>1549</v>
      </c>
      <c r="B293" s="16" t="s">
        <v>98</v>
      </c>
      <c r="C293" s="15">
        <v>8400206</v>
      </c>
      <c r="D293" s="16" t="s">
        <v>99</v>
      </c>
      <c r="E293" s="15" t="s">
        <v>1550</v>
      </c>
      <c r="F293" s="21" t="str">
        <f>HYPERLINK("https://psearch.kitsapgov.com/webappa/index.html?parcelID=2071066&amp;Theme=Imagery","2071066")</f>
        <v>2071066</v>
      </c>
      <c r="G293" s="16" t="s">
        <v>481</v>
      </c>
      <c r="H293" s="17">
        <v>44342</v>
      </c>
      <c r="I293" s="18">
        <v>43000</v>
      </c>
      <c r="J293" s="19">
        <v>0</v>
      </c>
      <c r="L293" s="16" t="s">
        <v>20</v>
      </c>
      <c r="M293" s="16" t="s">
        <v>1551</v>
      </c>
      <c r="N293" s="16" t="s">
        <v>1552</v>
      </c>
    </row>
    <row r="294" spans="1:14" ht="20.100000000000001" customHeight="1" x14ac:dyDescent="0.25">
      <c r="A294" s="15" t="s">
        <v>1553</v>
      </c>
      <c r="B294" s="16" t="s">
        <v>130</v>
      </c>
      <c r="C294" s="15">
        <v>8100502</v>
      </c>
      <c r="D294" s="16" t="s">
        <v>142</v>
      </c>
      <c r="E294" s="15" t="s">
        <v>1554</v>
      </c>
      <c r="F294" s="21" t="str">
        <f>HYPERLINK("https://psearch.kitsapgov.com/webappa/index.html?parcelID=1454099&amp;Theme=Imagery","1454099")</f>
        <v>1454099</v>
      </c>
      <c r="G294" s="16" t="s">
        <v>1555</v>
      </c>
      <c r="H294" s="17">
        <v>44343</v>
      </c>
      <c r="I294" s="18">
        <v>1000000</v>
      </c>
      <c r="J294" s="19">
        <v>0.38</v>
      </c>
      <c r="K294" s="16" t="s">
        <v>168</v>
      </c>
      <c r="L294" s="16" t="s">
        <v>38</v>
      </c>
      <c r="M294" s="16" t="s">
        <v>1556</v>
      </c>
      <c r="N294" s="16" t="s">
        <v>1557</v>
      </c>
    </row>
    <row r="295" spans="1:14" ht="20.100000000000001" customHeight="1" x14ac:dyDescent="0.25">
      <c r="A295" s="15" t="s">
        <v>1558</v>
      </c>
      <c r="B295" s="16" t="s">
        <v>159</v>
      </c>
      <c r="C295" s="15">
        <v>8100502</v>
      </c>
      <c r="D295" s="16" t="s">
        <v>142</v>
      </c>
      <c r="E295" s="15" t="s">
        <v>1559</v>
      </c>
      <c r="F295" s="21" t="str">
        <f>HYPERLINK("https://psearch.kitsapgov.com/webappa/index.html?parcelID=1457621&amp;Theme=Imagery","1457621")</f>
        <v>1457621</v>
      </c>
      <c r="G295" s="16" t="s">
        <v>1560</v>
      </c>
      <c r="H295" s="17">
        <v>44348</v>
      </c>
      <c r="I295" s="18">
        <v>2250000</v>
      </c>
      <c r="J295" s="19">
        <v>1.06</v>
      </c>
      <c r="K295" s="16" t="s">
        <v>168</v>
      </c>
      <c r="L295" s="16" t="s">
        <v>20</v>
      </c>
      <c r="M295" s="16" t="s">
        <v>1561</v>
      </c>
      <c r="N295" s="16" t="s">
        <v>1562</v>
      </c>
    </row>
    <row r="296" spans="1:14" ht="20.100000000000001" customHeight="1" x14ac:dyDescent="0.25">
      <c r="A296" s="15" t="s">
        <v>1563</v>
      </c>
      <c r="B296" s="16" t="s">
        <v>834</v>
      </c>
      <c r="C296" s="15">
        <v>8100502</v>
      </c>
      <c r="D296" s="16" t="s">
        <v>142</v>
      </c>
      <c r="E296" s="15" t="s">
        <v>1564</v>
      </c>
      <c r="F296" s="21" t="str">
        <f>HYPERLINK("https://psearch.kitsapgov.com/webappa/index.html?parcelID=2524114&amp;Theme=Imagery","2524114")</f>
        <v>2524114</v>
      </c>
      <c r="G296" s="16" t="s">
        <v>1565</v>
      </c>
      <c r="H296" s="17">
        <v>44348</v>
      </c>
      <c r="I296" s="18">
        <v>156395</v>
      </c>
      <c r="J296" s="19">
        <v>0.24</v>
      </c>
      <c r="K296" s="16" t="s">
        <v>168</v>
      </c>
      <c r="L296" s="16" t="s">
        <v>20</v>
      </c>
      <c r="M296" s="16" t="s">
        <v>1566</v>
      </c>
      <c r="N296" s="16" t="s">
        <v>1567</v>
      </c>
    </row>
    <row r="297" spans="1:14" ht="20.100000000000001" customHeight="1" x14ac:dyDescent="0.25">
      <c r="A297" s="15" t="s">
        <v>1568</v>
      </c>
      <c r="B297" s="16" t="s">
        <v>229</v>
      </c>
      <c r="C297" s="15">
        <v>8400201</v>
      </c>
      <c r="D297" s="16" t="s">
        <v>496</v>
      </c>
      <c r="E297" s="15" t="s">
        <v>1569</v>
      </c>
      <c r="F297" s="21" t="str">
        <f>HYPERLINK("https://psearch.kitsapgov.com/webappa/index.html?parcelID=2072841&amp;Theme=Imagery","2072841")</f>
        <v>2072841</v>
      </c>
      <c r="G297" s="16" t="s">
        <v>1570</v>
      </c>
      <c r="H297" s="17">
        <v>44341</v>
      </c>
      <c r="I297" s="18">
        <v>825000</v>
      </c>
      <c r="J297" s="19">
        <v>0.56999999999999995</v>
      </c>
      <c r="K297" s="16" t="s">
        <v>499</v>
      </c>
      <c r="L297" s="16" t="s">
        <v>38</v>
      </c>
      <c r="M297" s="16" t="s">
        <v>1571</v>
      </c>
      <c r="N297" s="16" t="s">
        <v>1572</v>
      </c>
    </row>
    <row r="298" spans="1:14" ht="20.100000000000001" customHeight="1" x14ac:dyDescent="0.25">
      <c r="A298" s="15" t="s">
        <v>1573</v>
      </c>
      <c r="B298" s="16" t="s">
        <v>70</v>
      </c>
      <c r="C298" s="15">
        <v>8100506</v>
      </c>
      <c r="D298" s="16" t="s">
        <v>286</v>
      </c>
      <c r="E298" s="15" t="s">
        <v>1574</v>
      </c>
      <c r="F298" s="21" t="str">
        <f>HYPERLINK("https://psearch.kitsapgov.com/webappa/index.html?parcelID=1106327&amp;Theme=Imagery","1106327")</f>
        <v>1106327</v>
      </c>
      <c r="G298" s="16" t="s">
        <v>1575</v>
      </c>
      <c r="H298" s="17">
        <v>44349</v>
      </c>
      <c r="I298" s="18">
        <v>1191000</v>
      </c>
      <c r="J298" s="19">
        <v>1.61</v>
      </c>
      <c r="K298" s="16" t="s">
        <v>109</v>
      </c>
      <c r="L298" s="16" t="s">
        <v>94</v>
      </c>
      <c r="M298" s="16" t="s">
        <v>1576</v>
      </c>
      <c r="N298" s="16" t="s">
        <v>1577</v>
      </c>
    </row>
    <row r="299" spans="1:14" ht="20.100000000000001" customHeight="1" x14ac:dyDescent="0.25">
      <c r="A299" s="15" t="s">
        <v>1578</v>
      </c>
      <c r="B299" s="16" t="s">
        <v>98</v>
      </c>
      <c r="C299" s="15">
        <v>8400206</v>
      </c>
      <c r="D299" s="16" t="s">
        <v>99</v>
      </c>
      <c r="E299" s="15" t="s">
        <v>1579</v>
      </c>
      <c r="F299" s="21" t="str">
        <f>HYPERLINK("https://psearch.kitsapgov.com/webappa/index.html?parcelID=2071645&amp;Theme=Imagery","2071645")</f>
        <v>2071645</v>
      </c>
      <c r="G299" s="16" t="s">
        <v>486</v>
      </c>
      <c r="H299" s="17">
        <v>44340</v>
      </c>
      <c r="I299" s="18">
        <v>60000</v>
      </c>
      <c r="J299" s="19">
        <v>0</v>
      </c>
      <c r="L299" s="16" t="s">
        <v>20</v>
      </c>
      <c r="M299" s="16" t="s">
        <v>1580</v>
      </c>
      <c r="N299" s="16" t="s">
        <v>1581</v>
      </c>
    </row>
    <row r="300" spans="1:14" ht="20.100000000000001" customHeight="1" x14ac:dyDescent="0.25">
      <c r="A300" s="15" t="s">
        <v>1582</v>
      </c>
      <c r="B300" s="16" t="s">
        <v>78</v>
      </c>
      <c r="C300" s="15">
        <v>8401104</v>
      </c>
      <c r="D300" s="16" t="s">
        <v>241</v>
      </c>
      <c r="E300" s="15" t="s">
        <v>1583</v>
      </c>
      <c r="F300" s="21" t="str">
        <f>HYPERLINK("https://psearch.kitsapgov.com/webappa/index.html?parcelID=2127637&amp;Theme=Imagery","2127637")</f>
        <v>2127637</v>
      </c>
      <c r="G300" s="16" t="s">
        <v>577</v>
      </c>
      <c r="H300" s="17">
        <v>44343</v>
      </c>
      <c r="I300" s="18">
        <v>550000</v>
      </c>
      <c r="J300" s="19">
        <v>10.72</v>
      </c>
      <c r="K300" s="16" t="s">
        <v>492</v>
      </c>
      <c r="L300" s="16" t="s">
        <v>29</v>
      </c>
      <c r="M300" s="16" t="s">
        <v>1584</v>
      </c>
      <c r="N300" s="16" t="s">
        <v>1585</v>
      </c>
    </row>
    <row r="301" spans="1:14" ht="20.100000000000001" customHeight="1" x14ac:dyDescent="0.25">
      <c r="A301" s="15" t="s">
        <v>1586</v>
      </c>
      <c r="B301" s="16" t="s">
        <v>159</v>
      </c>
      <c r="C301" s="15">
        <v>8303601</v>
      </c>
      <c r="D301" s="16" t="s">
        <v>25</v>
      </c>
      <c r="E301" s="15" t="s">
        <v>1587</v>
      </c>
      <c r="F301" s="21" t="str">
        <f>HYPERLINK("https://psearch.kitsapgov.com/webappa/index.html?parcelID=1310861&amp;Theme=Imagery","1310861")</f>
        <v>1310861</v>
      </c>
      <c r="G301" s="16" t="s">
        <v>1588</v>
      </c>
      <c r="H301" s="17">
        <v>44349</v>
      </c>
      <c r="I301" s="18">
        <v>1800000</v>
      </c>
      <c r="J301" s="19">
        <v>0.11</v>
      </c>
      <c r="K301" s="16" t="s">
        <v>421</v>
      </c>
      <c r="L301" s="16" t="s">
        <v>20</v>
      </c>
      <c r="M301" s="16" t="s">
        <v>1589</v>
      </c>
      <c r="N301" s="16" t="s">
        <v>1590</v>
      </c>
    </row>
    <row r="302" spans="1:14" ht="20.100000000000001" customHeight="1" x14ac:dyDescent="0.25">
      <c r="A302" s="15" t="s">
        <v>1591</v>
      </c>
      <c r="B302" s="16" t="s">
        <v>24</v>
      </c>
      <c r="C302" s="15">
        <v>8100502</v>
      </c>
      <c r="D302" s="16" t="s">
        <v>142</v>
      </c>
      <c r="E302" s="15" t="s">
        <v>1592</v>
      </c>
      <c r="F302" s="21" t="str">
        <f>HYPERLINK("https://psearch.kitsapgov.com/webappa/index.html?parcelID=2024263&amp;Theme=Imagery","2024263")</f>
        <v>2024263</v>
      </c>
      <c r="G302" s="16" t="s">
        <v>1593</v>
      </c>
      <c r="H302" s="17">
        <v>44343</v>
      </c>
      <c r="I302" s="18">
        <v>590000</v>
      </c>
      <c r="J302" s="19">
        <v>0.55000000000000004</v>
      </c>
      <c r="K302" s="16" t="s">
        <v>145</v>
      </c>
      <c r="L302" s="16" t="s">
        <v>1594</v>
      </c>
      <c r="M302" s="16" t="s">
        <v>1595</v>
      </c>
      <c r="N302" s="16" t="s">
        <v>1596</v>
      </c>
    </row>
    <row r="303" spans="1:14" ht="20.100000000000001" customHeight="1" x14ac:dyDescent="0.25">
      <c r="A303" s="15" t="s">
        <v>1597</v>
      </c>
      <c r="B303" s="16" t="s">
        <v>98</v>
      </c>
      <c r="C303" s="15">
        <v>8303660</v>
      </c>
      <c r="D303" s="16" t="s">
        <v>252</v>
      </c>
      <c r="E303" s="15" t="s">
        <v>1598</v>
      </c>
      <c r="F303" s="21" t="str">
        <f>HYPERLINK("https://psearch.kitsapgov.com/webappa/index.html?parcelID=1882794&amp;Theme=Imagery","1882794")</f>
        <v>1882794</v>
      </c>
      <c r="G303" s="16" t="s">
        <v>1599</v>
      </c>
      <c r="H303" s="17">
        <v>44354</v>
      </c>
      <c r="I303" s="18">
        <v>100000</v>
      </c>
      <c r="J303" s="19">
        <v>0</v>
      </c>
      <c r="L303" s="16" t="s">
        <v>20</v>
      </c>
      <c r="M303" s="16" t="s">
        <v>1600</v>
      </c>
      <c r="N303" s="16" t="s">
        <v>1601</v>
      </c>
    </row>
    <row r="304" spans="1:14" ht="20.100000000000001" customHeight="1" x14ac:dyDescent="0.25">
      <c r="A304" s="15" t="s">
        <v>1602</v>
      </c>
      <c r="B304" s="16" t="s">
        <v>850</v>
      </c>
      <c r="C304" s="15">
        <v>8100502</v>
      </c>
      <c r="D304" s="16" t="s">
        <v>142</v>
      </c>
      <c r="E304" s="15" t="s">
        <v>1603</v>
      </c>
      <c r="F304" s="21" t="str">
        <f>HYPERLINK("https://psearch.kitsapgov.com/webappa/index.html?parcelID=1152586&amp;Theme=Imagery","1152586")</f>
        <v>1152586</v>
      </c>
      <c r="G304" s="16" t="s">
        <v>1604</v>
      </c>
      <c r="H304" s="17">
        <v>44361</v>
      </c>
      <c r="I304" s="18">
        <v>410000</v>
      </c>
      <c r="J304" s="19">
        <v>0.55000000000000004</v>
      </c>
      <c r="K304" s="16" t="s">
        <v>168</v>
      </c>
      <c r="L304" s="16" t="s">
        <v>38</v>
      </c>
      <c r="M304" s="16" t="s">
        <v>1605</v>
      </c>
      <c r="N304" s="16" t="s">
        <v>1606</v>
      </c>
    </row>
    <row r="305" spans="1:14" ht="20.100000000000001" customHeight="1" x14ac:dyDescent="0.25">
      <c r="A305" s="15" t="s">
        <v>1607</v>
      </c>
      <c r="B305" s="16" t="s">
        <v>765</v>
      </c>
      <c r="C305" s="15">
        <v>9100542</v>
      </c>
      <c r="D305" s="16" t="s">
        <v>360</v>
      </c>
      <c r="E305" s="15" t="s">
        <v>1608</v>
      </c>
      <c r="F305" s="21" t="str">
        <f>HYPERLINK("https://psearch.kitsapgov.com/webappa/index.html?parcelID=1492826&amp;Theme=Imagery","1492826")</f>
        <v>1492826</v>
      </c>
      <c r="G305" s="16" t="s">
        <v>1609</v>
      </c>
      <c r="H305" s="17">
        <v>44363</v>
      </c>
      <c r="I305" s="18">
        <v>7750000</v>
      </c>
      <c r="J305" s="19">
        <v>1.94</v>
      </c>
      <c r="K305" s="16" t="s">
        <v>814</v>
      </c>
      <c r="L305" s="16" t="s">
        <v>38</v>
      </c>
      <c r="M305" s="16" t="s">
        <v>1610</v>
      </c>
      <c r="N305" s="16" t="s">
        <v>1611</v>
      </c>
    </row>
    <row r="306" spans="1:14" ht="20.100000000000001" customHeight="1" x14ac:dyDescent="0.25">
      <c r="A306" s="15" t="s">
        <v>1612</v>
      </c>
      <c r="B306" s="16" t="s">
        <v>78</v>
      </c>
      <c r="C306" s="15">
        <v>8303601</v>
      </c>
      <c r="D306" s="16" t="s">
        <v>25</v>
      </c>
      <c r="E306" s="15" t="s">
        <v>1613</v>
      </c>
      <c r="F306" s="21" t="str">
        <f>HYPERLINK("https://psearch.kitsapgov.com/webappa/index.html?parcelID=1305564&amp;Theme=Imagery","1305564")</f>
        <v>1305564</v>
      </c>
      <c r="G306" s="16" t="s">
        <v>1614</v>
      </c>
      <c r="H306" s="17">
        <v>44361</v>
      </c>
      <c r="I306" s="18">
        <v>700000</v>
      </c>
      <c r="J306" s="19">
        <v>0.31</v>
      </c>
      <c r="K306" s="16" t="s">
        <v>265</v>
      </c>
      <c r="L306" s="16" t="s">
        <v>29</v>
      </c>
      <c r="M306" s="16" t="s">
        <v>1615</v>
      </c>
      <c r="N306" s="16" t="s">
        <v>1616</v>
      </c>
    </row>
    <row r="307" spans="1:14" ht="20.100000000000001" customHeight="1" x14ac:dyDescent="0.25">
      <c r="A307" s="15" t="s">
        <v>1617</v>
      </c>
      <c r="B307" s="16" t="s">
        <v>105</v>
      </c>
      <c r="C307" s="15">
        <v>8303601</v>
      </c>
      <c r="D307" s="16" t="s">
        <v>25</v>
      </c>
      <c r="E307" s="15" t="s">
        <v>1618</v>
      </c>
      <c r="F307" s="21" t="str">
        <f>HYPERLINK("https://psearch.kitsapgov.com/webappa/index.html?parcelID=2625796&amp;Theme=Imagery","2625796")</f>
        <v>2625796</v>
      </c>
      <c r="G307" s="16" t="s">
        <v>1619</v>
      </c>
      <c r="H307" s="17">
        <v>44363</v>
      </c>
      <c r="I307" s="18">
        <v>2000000</v>
      </c>
      <c r="J307" s="19">
        <v>4.03</v>
      </c>
      <c r="K307" s="16" t="s">
        <v>28</v>
      </c>
      <c r="L307" s="16" t="s">
        <v>38</v>
      </c>
      <c r="M307" s="16" t="s">
        <v>1620</v>
      </c>
      <c r="N307" s="16" t="s">
        <v>1621</v>
      </c>
    </row>
    <row r="308" spans="1:14" ht="20.100000000000001" customHeight="1" x14ac:dyDescent="0.25">
      <c r="A308" s="15" t="s">
        <v>1622</v>
      </c>
      <c r="B308" s="16" t="s">
        <v>130</v>
      </c>
      <c r="C308" s="15">
        <v>8401102</v>
      </c>
      <c r="D308" s="16" t="s">
        <v>17</v>
      </c>
      <c r="E308" s="15" t="s">
        <v>1623</v>
      </c>
      <c r="F308" s="21" t="str">
        <f>HYPERLINK("https://psearch.kitsapgov.com/webappa/index.html?parcelID=1659457&amp;Theme=Imagery","1659457")</f>
        <v>1659457</v>
      </c>
      <c r="G308" s="16" t="s">
        <v>1624</v>
      </c>
      <c r="H308" s="17">
        <v>44341</v>
      </c>
      <c r="I308" s="18">
        <v>1800000</v>
      </c>
      <c r="J308" s="19">
        <v>0.75</v>
      </c>
      <c r="K308" s="16" t="s">
        <v>308</v>
      </c>
      <c r="L308" s="16" t="s">
        <v>38</v>
      </c>
      <c r="M308" s="16" t="s">
        <v>1625</v>
      </c>
      <c r="N308" s="16" t="s">
        <v>1626</v>
      </c>
    </row>
    <row r="309" spans="1:14" ht="20.100000000000001" customHeight="1" x14ac:dyDescent="0.25">
      <c r="A309" s="15" t="s">
        <v>1627</v>
      </c>
      <c r="B309" s="16" t="s">
        <v>512</v>
      </c>
      <c r="C309" s="15">
        <v>9100543</v>
      </c>
      <c r="D309" s="16" t="s">
        <v>1628</v>
      </c>
      <c r="E309" s="15" t="s">
        <v>1629</v>
      </c>
      <c r="F309" s="21" t="str">
        <f>HYPERLINK("https://psearch.kitsapgov.com/webappa/index.html?parcelID=1482058&amp;Theme=Imagery","1482058")</f>
        <v>1482058</v>
      </c>
      <c r="G309" s="16" t="s">
        <v>1630</v>
      </c>
      <c r="H309" s="17">
        <v>44368</v>
      </c>
      <c r="I309" s="18">
        <v>4300000</v>
      </c>
      <c r="J309" s="19">
        <v>2</v>
      </c>
      <c r="K309" s="16" t="s">
        <v>377</v>
      </c>
      <c r="L309" s="16" t="s">
        <v>38</v>
      </c>
      <c r="M309" s="16" t="s">
        <v>1631</v>
      </c>
      <c r="N309" s="16" t="s">
        <v>1632</v>
      </c>
    </row>
    <row r="310" spans="1:14" ht="20.100000000000001" customHeight="1" x14ac:dyDescent="0.25">
      <c r="A310" s="15" t="s">
        <v>1633</v>
      </c>
      <c r="B310" s="16" t="s">
        <v>533</v>
      </c>
      <c r="C310" s="15">
        <v>9100541</v>
      </c>
      <c r="D310" s="16" t="s">
        <v>186</v>
      </c>
      <c r="E310" s="15" t="s">
        <v>1634</v>
      </c>
      <c r="F310" s="21" t="str">
        <f>HYPERLINK("https://psearch.kitsapgov.com/webappa/index.html?parcelID=1447507&amp;Theme=Imagery","1447507")</f>
        <v>1447507</v>
      </c>
      <c r="G310" s="16" t="s">
        <v>1635</v>
      </c>
      <c r="H310" s="17">
        <v>44364</v>
      </c>
      <c r="I310" s="18">
        <v>895000</v>
      </c>
      <c r="J310" s="19">
        <v>0.2</v>
      </c>
      <c r="K310" s="16" t="s">
        <v>773</v>
      </c>
      <c r="L310" s="16" t="s">
        <v>20</v>
      </c>
      <c r="M310" s="16" t="s">
        <v>1636</v>
      </c>
      <c r="N310" s="16" t="s">
        <v>1637</v>
      </c>
    </row>
    <row r="311" spans="1:14" ht="20.100000000000001" customHeight="1" x14ac:dyDescent="0.25">
      <c r="A311" s="15" t="s">
        <v>1638</v>
      </c>
      <c r="B311" s="16" t="s">
        <v>62</v>
      </c>
      <c r="C311" s="15">
        <v>8402307</v>
      </c>
      <c r="D311" s="16" t="s">
        <v>131</v>
      </c>
      <c r="E311" s="15" t="s">
        <v>1639</v>
      </c>
      <c r="F311" s="21" t="str">
        <f>HYPERLINK("https://psearch.kitsapgov.com/webappa/index.html?parcelID=2360626&amp;Theme=Imagery","2360626")</f>
        <v>2360626</v>
      </c>
      <c r="G311" s="16" t="s">
        <v>1640</v>
      </c>
      <c r="H311" s="17">
        <v>44365</v>
      </c>
      <c r="I311" s="18">
        <v>2410000</v>
      </c>
      <c r="J311" s="19">
        <v>0.54</v>
      </c>
      <c r="K311" s="16" t="s">
        <v>630</v>
      </c>
      <c r="L311" s="16" t="s">
        <v>20</v>
      </c>
      <c r="M311" s="16" t="s">
        <v>1641</v>
      </c>
      <c r="N311" s="16" t="s">
        <v>1642</v>
      </c>
    </row>
    <row r="312" spans="1:14" ht="20.100000000000001" customHeight="1" x14ac:dyDescent="0.25">
      <c r="A312" s="15" t="s">
        <v>1643</v>
      </c>
      <c r="B312" s="16" t="s">
        <v>159</v>
      </c>
      <c r="C312" s="15">
        <v>8100506</v>
      </c>
      <c r="D312" s="16" t="s">
        <v>286</v>
      </c>
      <c r="E312" s="15" t="s">
        <v>1644</v>
      </c>
      <c r="F312" s="21" t="str">
        <f>HYPERLINK("https://psearch.kitsapgov.com/webappa/index.html?parcelID=1473875&amp;Theme=Imagery","1473875")</f>
        <v>1473875</v>
      </c>
      <c r="G312" s="16" t="s">
        <v>1645</v>
      </c>
      <c r="H312" s="17">
        <v>44371</v>
      </c>
      <c r="I312" s="18">
        <v>525000</v>
      </c>
      <c r="J312" s="19">
        <v>0.19</v>
      </c>
      <c r="K312" s="16" t="s">
        <v>980</v>
      </c>
      <c r="L312" s="16" t="s">
        <v>38</v>
      </c>
      <c r="M312" s="16" t="s">
        <v>1646</v>
      </c>
      <c r="N312" s="16" t="s">
        <v>1647</v>
      </c>
    </row>
    <row r="313" spans="1:14" ht="20.100000000000001" customHeight="1" x14ac:dyDescent="0.25">
      <c r="A313" s="15" t="s">
        <v>1648</v>
      </c>
      <c r="B313" s="16" t="s">
        <v>78</v>
      </c>
      <c r="C313" s="15">
        <v>8402405</v>
      </c>
      <c r="D313" s="16" t="s">
        <v>71</v>
      </c>
      <c r="E313" s="15" t="s">
        <v>1649</v>
      </c>
      <c r="F313" s="21" t="str">
        <f>HYPERLINK("https://psearch.kitsapgov.com/webappa/index.html?parcelID=1737568&amp;Theme=Imagery","1737568")</f>
        <v>1737568</v>
      </c>
      <c r="G313" s="16" t="s">
        <v>1650</v>
      </c>
      <c r="H313" s="17">
        <v>44365</v>
      </c>
      <c r="I313" s="18">
        <v>420000</v>
      </c>
      <c r="J313" s="19">
        <v>0.08</v>
      </c>
      <c r="K313" s="16" t="s">
        <v>82</v>
      </c>
      <c r="L313" s="16" t="s">
        <v>38</v>
      </c>
      <c r="M313" s="16" t="s">
        <v>1651</v>
      </c>
      <c r="N313" s="16" t="s">
        <v>1652</v>
      </c>
    </row>
    <row r="314" spans="1:14" ht="20.100000000000001" customHeight="1" x14ac:dyDescent="0.25">
      <c r="A314" s="15" t="s">
        <v>1653</v>
      </c>
      <c r="B314" s="16" t="s">
        <v>70</v>
      </c>
      <c r="C314" s="15">
        <v>8402305</v>
      </c>
      <c r="D314" s="16" t="s">
        <v>452</v>
      </c>
      <c r="E314" s="15" t="s">
        <v>1654</v>
      </c>
      <c r="F314" s="21" t="str">
        <f>HYPERLINK("https://psearch.kitsapgov.com/webappa/index.html?parcelID=1776756&amp;Theme=Imagery","1776756")</f>
        <v>1776756</v>
      </c>
      <c r="G314" s="16" t="s">
        <v>1655</v>
      </c>
      <c r="H314" s="17">
        <v>44371</v>
      </c>
      <c r="I314" s="18">
        <v>250000</v>
      </c>
      <c r="J314" s="19">
        <v>2.08</v>
      </c>
      <c r="K314" s="16" t="s">
        <v>37</v>
      </c>
      <c r="L314" s="16" t="s">
        <v>94</v>
      </c>
      <c r="M314" s="16" t="s">
        <v>1656</v>
      </c>
      <c r="N314" s="16" t="s">
        <v>1657</v>
      </c>
    </row>
    <row r="315" spans="1:14" ht="20.100000000000001" customHeight="1" x14ac:dyDescent="0.25">
      <c r="A315" s="15" t="s">
        <v>1658</v>
      </c>
      <c r="B315" s="16" t="s">
        <v>850</v>
      </c>
      <c r="C315" s="15">
        <v>9100521</v>
      </c>
      <c r="D315" s="16" t="s">
        <v>1256</v>
      </c>
      <c r="E315" s="15" t="s">
        <v>1659</v>
      </c>
      <c r="F315" s="21" t="str">
        <f>HYPERLINK("https://psearch.kitsapgov.com/webappa/index.html?parcelID=2622900&amp;Theme=Imagery","2622900")</f>
        <v>2622900</v>
      </c>
      <c r="G315" s="16" t="s">
        <v>1660</v>
      </c>
      <c r="H315" s="17">
        <v>44369</v>
      </c>
      <c r="I315" s="18">
        <v>1001000</v>
      </c>
      <c r="J315" s="19">
        <v>0.91</v>
      </c>
      <c r="K315" s="16" t="s">
        <v>377</v>
      </c>
      <c r="L315" s="16" t="s">
        <v>20</v>
      </c>
      <c r="M315" s="16" t="s">
        <v>1661</v>
      </c>
      <c r="N315" s="16" t="s">
        <v>1662</v>
      </c>
    </row>
    <row r="316" spans="1:14" ht="20.100000000000001" customHeight="1" x14ac:dyDescent="0.25">
      <c r="A316" s="15" t="s">
        <v>1663</v>
      </c>
      <c r="B316" s="16" t="s">
        <v>1664</v>
      </c>
      <c r="C316" s="15">
        <v>8400207</v>
      </c>
      <c r="D316" s="16" t="s">
        <v>298</v>
      </c>
      <c r="E316" s="15" t="s">
        <v>1665</v>
      </c>
      <c r="F316" s="21" t="str">
        <f>HYPERLINK("https://psearch.kitsapgov.com/webappa/index.html?parcelID=2592673&amp;Theme=Imagery","2592673")</f>
        <v>2592673</v>
      </c>
      <c r="G316" s="16" t="s">
        <v>1666</v>
      </c>
      <c r="H316" s="17">
        <v>44377</v>
      </c>
      <c r="I316" s="18">
        <v>1237500</v>
      </c>
      <c r="J316" s="19">
        <v>0.56999999999999995</v>
      </c>
      <c r="K316" s="16" t="s">
        <v>301</v>
      </c>
      <c r="L316" s="16" t="s">
        <v>20</v>
      </c>
      <c r="M316" s="16" t="s">
        <v>1667</v>
      </c>
      <c r="N316" s="16" t="s">
        <v>1668</v>
      </c>
    </row>
    <row r="317" spans="1:14" ht="20.100000000000001" customHeight="1" x14ac:dyDescent="0.25">
      <c r="A317" s="15" t="s">
        <v>1669</v>
      </c>
      <c r="B317" s="16" t="s">
        <v>159</v>
      </c>
      <c r="C317" s="15">
        <v>8400207</v>
      </c>
      <c r="D317" s="16" t="s">
        <v>298</v>
      </c>
      <c r="E317" s="15" t="s">
        <v>1670</v>
      </c>
      <c r="F317" s="21" t="str">
        <f>HYPERLINK("https://psearch.kitsapgov.com/webappa/index.html?parcelID=2592681&amp;Theme=Imagery","2592681")</f>
        <v>2592681</v>
      </c>
      <c r="G317" s="16" t="s">
        <v>1671</v>
      </c>
      <c r="H317" s="17">
        <v>44377</v>
      </c>
      <c r="I317" s="18">
        <v>5537500</v>
      </c>
      <c r="J317" s="19">
        <v>1.25</v>
      </c>
      <c r="K317" s="16" t="s">
        <v>301</v>
      </c>
      <c r="L317" s="16" t="s">
        <v>20</v>
      </c>
      <c r="M317" s="16" t="s">
        <v>1667</v>
      </c>
      <c r="N317" s="16" t="s">
        <v>1672</v>
      </c>
    </row>
    <row r="318" spans="1:14" ht="20.100000000000001" customHeight="1" x14ac:dyDescent="0.25">
      <c r="A318" s="15" t="s">
        <v>1673</v>
      </c>
      <c r="B318" s="16" t="s">
        <v>98</v>
      </c>
      <c r="C318" s="15">
        <v>8400206</v>
      </c>
      <c r="D318" s="16" t="s">
        <v>99</v>
      </c>
      <c r="E318" s="15" t="s">
        <v>688</v>
      </c>
      <c r="F318" s="21" t="str">
        <f>HYPERLINK("https://psearch.kitsapgov.com/webappa/index.html?parcelID=2071090&amp;Theme=Imagery","2071090")</f>
        <v>2071090</v>
      </c>
      <c r="G318" s="16" t="s">
        <v>101</v>
      </c>
      <c r="H318" s="17">
        <v>44365</v>
      </c>
      <c r="I318" s="18">
        <v>50000</v>
      </c>
      <c r="J318" s="19">
        <v>0</v>
      </c>
      <c r="L318" s="16" t="s">
        <v>20</v>
      </c>
      <c r="M318" s="16" t="s">
        <v>1674</v>
      </c>
      <c r="N318" s="16" t="s">
        <v>1675</v>
      </c>
    </row>
    <row r="319" spans="1:14" ht="20.100000000000001" customHeight="1" x14ac:dyDescent="0.25">
      <c r="A319" s="15" t="s">
        <v>1676</v>
      </c>
      <c r="B319" s="16" t="s">
        <v>105</v>
      </c>
      <c r="C319" s="15">
        <v>8303601</v>
      </c>
      <c r="D319" s="16" t="s">
        <v>25</v>
      </c>
      <c r="E319" s="15" t="s">
        <v>1677</v>
      </c>
      <c r="F319" s="21" t="str">
        <f>HYPERLINK("https://psearch.kitsapgov.com/webappa/index.html?parcelID=2575199&amp;Theme=Imagery","2575199")</f>
        <v>2575199</v>
      </c>
      <c r="G319" s="16" t="s">
        <v>1678</v>
      </c>
      <c r="H319" s="17">
        <v>44376</v>
      </c>
      <c r="I319" s="18">
        <v>1550000</v>
      </c>
      <c r="J319" s="19">
        <v>1.89</v>
      </c>
      <c r="K319" s="16" t="s">
        <v>28</v>
      </c>
      <c r="L319" s="16" t="s">
        <v>38</v>
      </c>
      <c r="M319" s="16" t="s">
        <v>1679</v>
      </c>
      <c r="N319" s="16" t="s">
        <v>1680</v>
      </c>
    </row>
    <row r="320" spans="1:14" ht="20.100000000000001" customHeight="1" x14ac:dyDescent="0.25">
      <c r="A320" s="15" t="s">
        <v>1681</v>
      </c>
      <c r="B320" s="16" t="s">
        <v>159</v>
      </c>
      <c r="C320" s="15">
        <v>8400201</v>
      </c>
      <c r="D320" s="16" t="s">
        <v>496</v>
      </c>
      <c r="E320" s="15" t="s">
        <v>1682</v>
      </c>
      <c r="F320" s="21" t="str">
        <f>HYPERLINK("https://psearch.kitsapgov.com/webappa/index.html?parcelID=1550037&amp;Theme=Imagery","1550037")</f>
        <v>1550037</v>
      </c>
      <c r="G320" s="16" t="s">
        <v>1683</v>
      </c>
      <c r="H320" s="17">
        <v>44378</v>
      </c>
      <c r="I320" s="18">
        <v>1200000</v>
      </c>
      <c r="J320" s="19">
        <v>0.16</v>
      </c>
      <c r="K320" s="16" t="s">
        <v>499</v>
      </c>
      <c r="L320" s="16" t="s">
        <v>29</v>
      </c>
      <c r="M320" s="16" t="s">
        <v>1684</v>
      </c>
      <c r="N320" s="16" t="s">
        <v>1685</v>
      </c>
    </row>
    <row r="321" spans="1:14" ht="20.100000000000001" customHeight="1" x14ac:dyDescent="0.25">
      <c r="A321" s="15" t="s">
        <v>1686</v>
      </c>
      <c r="B321" s="16" t="s">
        <v>793</v>
      </c>
      <c r="C321" s="15">
        <v>8402408</v>
      </c>
      <c r="D321" s="16" t="s">
        <v>160</v>
      </c>
      <c r="E321" s="15" t="s">
        <v>1687</v>
      </c>
      <c r="F321" s="21" t="str">
        <f>HYPERLINK("https://psearch.kitsapgov.com/webappa/index.html?parcelID=1979590&amp;Theme=Imagery","1979590")</f>
        <v>1979590</v>
      </c>
      <c r="G321" s="16" t="s">
        <v>1688</v>
      </c>
      <c r="H321" s="17">
        <v>44370</v>
      </c>
      <c r="I321" s="18">
        <v>500</v>
      </c>
      <c r="J321" s="19">
        <v>4.95</v>
      </c>
      <c r="K321" s="16" t="s">
        <v>1163</v>
      </c>
      <c r="L321" s="16" t="s">
        <v>631</v>
      </c>
      <c r="M321" s="16" t="s">
        <v>1689</v>
      </c>
      <c r="N321" s="16" t="s">
        <v>1690</v>
      </c>
    </row>
    <row r="322" spans="1:14" ht="20.100000000000001" customHeight="1" x14ac:dyDescent="0.25">
      <c r="A322" s="15" t="s">
        <v>1691</v>
      </c>
      <c r="B322" s="16" t="s">
        <v>1044</v>
      </c>
      <c r="C322" s="15">
        <v>8100505</v>
      </c>
      <c r="D322" s="16" t="s">
        <v>670</v>
      </c>
      <c r="E322" s="15" t="s">
        <v>1692</v>
      </c>
      <c r="F322" s="21" t="str">
        <f>HYPERLINK("https://psearch.kitsapgov.com/webappa/index.html?parcelID=1490358&amp;Theme=Imagery","1490358")</f>
        <v>1490358</v>
      </c>
      <c r="G322" s="16" t="s">
        <v>1693</v>
      </c>
      <c r="H322" s="17">
        <v>44378</v>
      </c>
      <c r="I322" s="18">
        <v>7018870</v>
      </c>
      <c r="J322" s="19">
        <v>1.04</v>
      </c>
      <c r="K322" s="16" t="s">
        <v>673</v>
      </c>
      <c r="L322" s="16" t="s">
        <v>38</v>
      </c>
      <c r="M322" s="16" t="s">
        <v>1694</v>
      </c>
      <c r="N322" s="16" t="s">
        <v>1695</v>
      </c>
    </row>
    <row r="323" spans="1:14" ht="20.100000000000001" customHeight="1" x14ac:dyDescent="0.25">
      <c r="A323" s="15" t="s">
        <v>1696</v>
      </c>
      <c r="B323" s="16" t="s">
        <v>159</v>
      </c>
      <c r="C323" s="15">
        <v>8401508</v>
      </c>
      <c r="D323" s="16" t="s">
        <v>1341</v>
      </c>
      <c r="E323" s="15" t="s">
        <v>1697</v>
      </c>
      <c r="F323" s="21" t="str">
        <f>HYPERLINK("https://psearch.kitsapgov.com/webappa/index.html?parcelID=1279835&amp;Theme=Imagery","1279835")</f>
        <v>1279835</v>
      </c>
      <c r="G323" s="16" t="s">
        <v>1698</v>
      </c>
      <c r="H323" s="17">
        <v>44378</v>
      </c>
      <c r="I323" s="18">
        <v>500000</v>
      </c>
      <c r="J323" s="19">
        <v>0.54</v>
      </c>
      <c r="K323" s="16" t="s">
        <v>37</v>
      </c>
      <c r="L323" s="16" t="s">
        <v>38</v>
      </c>
      <c r="M323" s="16" t="s">
        <v>1699</v>
      </c>
      <c r="N323" s="16" t="s">
        <v>1700</v>
      </c>
    </row>
    <row r="324" spans="1:14" ht="20.100000000000001" customHeight="1" x14ac:dyDescent="0.25">
      <c r="A324" s="15" t="s">
        <v>1701</v>
      </c>
      <c r="B324" s="16" t="s">
        <v>98</v>
      </c>
      <c r="C324" s="15">
        <v>8400206</v>
      </c>
      <c r="D324" s="16" t="s">
        <v>99</v>
      </c>
      <c r="E324" s="15" t="s">
        <v>336</v>
      </c>
      <c r="F324" s="21" t="str">
        <f>HYPERLINK("https://psearch.kitsapgov.com/webappa/index.html?parcelID=2071256&amp;Theme=Imagery","2071256")</f>
        <v>2071256</v>
      </c>
      <c r="G324" s="16" t="s">
        <v>337</v>
      </c>
      <c r="H324" s="17">
        <v>44384</v>
      </c>
      <c r="I324" s="18">
        <v>45000</v>
      </c>
      <c r="J324" s="19">
        <v>0</v>
      </c>
      <c r="L324" s="16" t="s">
        <v>20</v>
      </c>
      <c r="M324" s="16" t="s">
        <v>339</v>
      </c>
      <c r="N324" s="16" t="s">
        <v>1702</v>
      </c>
    </row>
    <row r="325" spans="1:14" ht="20.100000000000001" customHeight="1" x14ac:dyDescent="0.25">
      <c r="A325" s="15" t="s">
        <v>1703</v>
      </c>
      <c r="B325" s="16" t="s">
        <v>105</v>
      </c>
      <c r="C325" s="15">
        <v>8402307</v>
      </c>
      <c r="D325" s="16" t="s">
        <v>131</v>
      </c>
      <c r="E325" s="15" t="s">
        <v>1704</v>
      </c>
      <c r="F325" s="21" t="str">
        <f>HYPERLINK("https://psearch.kitsapgov.com/webappa/index.html?parcelID=2662195&amp;Theme=Imagery","2662195")</f>
        <v>2662195</v>
      </c>
      <c r="G325" s="16" t="s">
        <v>1705</v>
      </c>
      <c r="H325" s="17">
        <v>44383</v>
      </c>
      <c r="I325" s="18">
        <v>470500</v>
      </c>
      <c r="J325" s="19">
        <v>0.51</v>
      </c>
      <c r="K325" s="16" t="s">
        <v>515</v>
      </c>
      <c r="L325" s="16" t="s">
        <v>38</v>
      </c>
      <c r="M325" s="16" t="s">
        <v>1706</v>
      </c>
      <c r="N325" s="16" t="s">
        <v>1707</v>
      </c>
    </row>
    <row r="326" spans="1:14" ht="20.100000000000001" customHeight="1" x14ac:dyDescent="0.25">
      <c r="A326" s="15" t="s">
        <v>1708</v>
      </c>
      <c r="B326" s="16" t="s">
        <v>78</v>
      </c>
      <c r="C326" s="15">
        <v>8402307</v>
      </c>
      <c r="D326" s="16" t="s">
        <v>131</v>
      </c>
      <c r="E326" s="15" t="s">
        <v>1709</v>
      </c>
      <c r="F326" s="21" t="str">
        <f>HYPERLINK("https://psearch.kitsapgov.com/webappa/index.html?parcelID=1172105&amp;Theme=Imagery","1172105")</f>
        <v>1172105</v>
      </c>
      <c r="G326" s="16" t="s">
        <v>1710</v>
      </c>
      <c r="H326" s="17">
        <v>44386</v>
      </c>
      <c r="I326" s="18">
        <v>575000</v>
      </c>
      <c r="J326" s="19">
        <v>1.05</v>
      </c>
      <c r="K326" s="16" t="s">
        <v>276</v>
      </c>
      <c r="L326" s="16" t="s">
        <v>20</v>
      </c>
      <c r="M326" s="16" t="s">
        <v>1711</v>
      </c>
      <c r="N326" s="16" t="s">
        <v>1712</v>
      </c>
    </row>
    <row r="327" spans="1:14" ht="20.100000000000001" customHeight="1" x14ac:dyDescent="0.25">
      <c r="A327" s="15" t="s">
        <v>1713</v>
      </c>
      <c r="B327" s="16" t="s">
        <v>24</v>
      </c>
      <c r="C327" s="15">
        <v>8100506</v>
      </c>
      <c r="D327" s="16" t="s">
        <v>286</v>
      </c>
      <c r="E327" s="15" t="s">
        <v>1714</v>
      </c>
      <c r="F327" s="21" t="str">
        <f>HYPERLINK("https://psearch.kitsapgov.com/webappa/index.html?parcelID=1704683&amp;Theme=Imagery","1704683")</f>
        <v>1704683</v>
      </c>
      <c r="G327" s="16" t="s">
        <v>1715</v>
      </c>
      <c r="H327" s="17">
        <v>44389</v>
      </c>
      <c r="I327" s="18">
        <v>220000</v>
      </c>
      <c r="J327" s="19">
        <v>0.44</v>
      </c>
      <c r="K327" s="16" t="s">
        <v>168</v>
      </c>
      <c r="L327" s="16" t="s">
        <v>38</v>
      </c>
      <c r="M327" s="16" t="s">
        <v>1716</v>
      </c>
      <c r="N327" s="16" t="s">
        <v>1717</v>
      </c>
    </row>
    <row r="328" spans="1:14" ht="20.100000000000001" customHeight="1" x14ac:dyDescent="0.25">
      <c r="A328" s="15" t="s">
        <v>1718</v>
      </c>
      <c r="B328" s="16" t="s">
        <v>317</v>
      </c>
      <c r="C328" s="15">
        <v>9100541</v>
      </c>
      <c r="D328" s="16" t="s">
        <v>186</v>
      </c>
      <c r="E328" s="15" t="s">
        <v>1719</v>
      </c>
      <c r="F328" s="21" t="str">
        <f>HYPERLINK("https://psearch.kitsapgov.com/webappa/index.html?parcelID=1452093&amp;Theme=Imagery","1452093")</f>
        <v>1452093</v>
      </c>
      <c r="G328" s="16" t="s">
        <v>1720</v>
      </c>
      <c r="H328" s="17">
        <v>44390</v>
      </c>
      <c r="I328" s="18">
        <v>525000</v>
      </c>
      <c r="J328" s="19">
        <v>0.15</v>
      </c>
      <c r="K328" s="16" t="s">
        <v>377</v>
      </c>
      <c r="L328" s="16" t="s">
        <v>20</v>
      </c>
      <c r="M328" s="16" t="s">
        <v>1721</v>
      </c>
      <c r="N328" s="16" t="s">
        <v>1722</v>
      </c>
    </row>
    <row r="329" spans="1:14" ht="20.100000000000001" customHeight="1" x14ac:dyDescent="0.25">
      <c r="A329" s="15" t="s">
        <v>1723</v>
      </c>
      <c r="B329" s="16" t="s">
        <v>24</v>
      </c>
      <c r="C329" s="15">
        <v>8401101</v>
      </c>
      <c r="D329" s="16" t="s">
        <v>305</v>
      </c>
      <c r="E329" s="15" t="s">
        <v>1724</v>
      </c>
      <c r="F329" s="21" t="str">
        <f>HYPERLINK("https://psearch.kitsapgov.com/webappa/index.html?parcelID=2412260&amp;Theme=Imagery","2412260")</f>
        <v>2412260</v>
      </c>
      <c r="G329" s="16" t="s">
        <v>1725</v>
      </c>
      <c r="H329" s="17">
        <v>44389</v>
      </c>
      <c r="I329" s="18">
        <v>1200000</v>
      </c>
      <c r="J329" s="19">
        <v>0.38</v>
      </c>
      <c r="K329" s="16" t="s">
        <v>308</v>
      </c>
      <c r="L329" s="16" t="s">
        <v>38</v>
      </c>
      <c r="M329" s="16" t="s">
        <v>1726</v>
      </c>
      <c r="N329" s="16" t="s">
        <v>1727</v>
      </c>
    </row>
    <row r="330" spans="1:14" ht="20.100000000000001" customHeight="1" x14ac:dyDescent="0.25">
      <c r="A330" s="15" t="s">
        <v>1728</v>
      </c>
      <c r="B330" s="16" t="s">
        <v>324</v>
      </c>
      <c r="C330" s="15">
        <v>8402307</v>
      </c>
      <c r="D330" s="16" t="s">
        <v>131</v>
      </c>
      <c r="E330" s="15" t="s">
        <v>1729</v>
      </c>
      <c r="F330" s="21" t="str">
        <f>HYPERLINK("https://psearch.kitsapgov.com/webappa/index.html?parcelID=2528271&amp;Theme=Imagery","2528271")</f>
        <v>2528271</v>
      </c>
      <c r="G330" s="16" t="s">
        <v>1730</v>
      </c>
      <c r="H330" s="17">
        <v>44390</v>
      </c>
      <c r="I330" s="18">
        <v>1000000</v>
      </c>
      <c r="J330" s="19">
        <v>1.1599999999999999</v>
      </c>
      <c r="K330" s="16" t="s">
        <v>515</v>
      </c>
      <c r="L330" s="16" t="s">
        <v>38</v>
      </c>
      <c r="M330" s="16" t="s">
        <v>1731</v>
      </c>
      <c r="N330" s="16" t="s">
        <v>1732</v>
      </c>
    </row>
    <row r="331" spans="1:14" ht="20.100000000000001" customHeight="1" x14ac:dyDescent="0.25">
      <c r="A331" s="15" t="s">
        <v>1733</v>
      </c>
      <c r="B331" s="16" t="s">
        <v>105</v>
      </c>
      <c r="C331" s="15">
        <v>8402305</v>
      </c>
      <c r="D331" s="16" t="s">
        <v>452</v>
      </c>
      <c r="E331" s="15" t="s">
        <v>1734</v>
      </c>
      <c r="F331" s="21" t="str">
        <f>HYPERLINK("https://psearch.kitsapgov.com/webappa/index.html?parcelID=2337939&amp;Theme=Imagery","2337939")</f>
        <v>2337939</v>
      </c>
      <c r="G331" s="16" t="s">
        <v>1735</v>
      </c>
      <c r="H331" s="17">
        <v>44386</v>
      </c>
      <c r="I331" s="18">
        <v>425000</v>
      </c>
      <c r="J331" s="19">
        <v>1.4</v>
      </c>
      <c r="K331" s="16" t="s">
        <v>455</v>
      </c>
      <c r="L331" s="16" t="s">
        <v>38</v>
      </c>
      <c r="M331" s="16" t="s">
        <v>1736</v>
      </c>
      <c r="N331" s="16" t="s">
        <v>1737</v>
      </c>
    </row>
    <row r="332" spans="1:14" ht="20.100000000000001" customHeight="1" x14ac:dyDescent="0.25">
      <c r="A332" s="15" t="s">
        <v>1738</v>
      </c>
      <c r="B332" s="16" t="s">
        <v>24</v>
      </c>
      <c r="C332" s="15">
        <v>8100502</v>
      </c>
      <c r="D332" s="16" t="s">
        <v>142</v>
      </c>
      <c r="E332" s="15" t="s">
        <v>1739</v>
      </c>
      <c r="F332" s="21" t="str">
        <f>HYPERLINK("https://psearch.kitsapgov.com/webappa/index.html?parcelID=1151950&amp;Theme=Imagery","1151950")</f>
        <v>1151950</v>
      </c>
      <c r="G332" s="16" t="s">
        <v>1740</v>
      </c>
      <c r="H332" s="17">
        <v>44392</v>
      </c>
      <c r="I332" s="18">
        <v>310000</v>
      </c>
      <c r="J332" s="19">
        <v>0.24</v>
      </c>
      <c r="K332" s="16" t="s">
        <v>168</v>
      </c>
      <c r="L332" s="16" t="s">
        <v>20</v>
      </c>
      <c r="M332" s="16" t="s">
        <v>1741</v>
      </c>
      <c r="N332" s="16" t="s">
        <v>1742</v>
      </c>
    </row>
    <row r="333" spans="1:14" ht="20.100000000000001" customHeight="1" x14ac:dyDescent="0.25">
      <c r="A333" s="15" t="s">
        <v>1743</v>
      </c>
      <c r="B333" s="16" t="s">
        <v>159</v>
      </c>
      <c r="C333" s="15">
        <v>8100501</v>
      </c>
      <c r="D333" s="16" t="s">
        <v>63</v>
      </c>
      <c r="E333" s="15" t="s">
        <v>1744</v>
      </c>
      <c r="F333" s="21" t="str">
        <f>HYPERLINK("https://psearch.kitsapgov.com/webappa/index.html?parcelID=1426915&amp;Theme=Imagery","1426915")</f>
        <v>1426915</v>
      </c>
      <c r="G333" s="16" t="s">
        <v>1745</v>
      </c>
      <c r="H333" s="17">
        <v>44386</v>
      </c>
      <c r="I333" s="18">
        <v>545000</v>
      </c>
      <c r="J333" s="19">
        <v>0.14000000000000001</v>
      </c>
      <c r="K333" s="16" t="s">
        <v>93</v>
      </c>
      <c r="L333" s="16" t="s">
        <v>20</v>
      </c>
      <c r="M333" s="16" t="s">
        <v>1746</v>
      </c>
      <c r="N333" s="16" t="s">
        <v>1747</v>
      </c>
    </row>
    <row r="334" spans="1:14" ht="20.100000000000001" customHeight="1" x14ac:dyDescent="0.25">
      <c r="A334" s="15" t="s">
        <v>1748</v>
      </c>
      <c r="B334" s="16" t="s">
        <v>105</v>
      </c>
      <c r="C334" s="15">
        <v>9100542</v>
      </c>
      <c r="D334" s="16" t="s">
        <v>360</v>
      </c>
      <c r="E334" s="15" t="s">
        <v>1749</v>
      </c>
      <c r="F334" s="21" t="str">
        <f>HYPERLINK("https://psearch.kitsapgov.com/webappa/index.html?parcelID=1490069&amp;Theme=Imagery","1490069")</f>
        <v>1490069</v>
      </c>
      <c r="G334" s="16" t="s">
        <v>1750</v>
      </c>
      <c r="H334" s="17">
        <v>44396</v>
      </c>
      <c r="I334" s="18">
        <v>142000</v>
      </c>
      <c r="J334" s="19">
        <v>0.56999999999999995</v>
      </c>
      <c r="K334" s="16" t="s">
        <v>673</v>
      </c>
      <c r="L334" s="16" t="s">
        <v>20</v>
      </c>
      <c r="M334" s="16" t="s">
        <v>1751</v>
      </c>
      <c r="N334" s="16" t="s">
        <v>1752</v>
      </c>
    </row>
    <row r="335" spans="1:14" ht="20.100000000000001" customHeight="1" x14ac:dyDescent="0.25">
      <c r="A335" s="15" t="s">
        <v>1753</v>
      </c>
      <c r="B335" s="16" t="s">
        <v>285</v>
      </c>
      <c r="C335" s="15">
        <v>8400202</v>
      </c>
      <c r="D335" s="16" t="s">
        <v>440</v>
      </c>
      <c r="E335" s="15" t="s">
        <v>1754</v>
      </c>
      <c r="F335" s="21" t="str">
        <f>HYPERLINK("https://psearch.kitsapgov.com/webappa/index.html?parcelID=2464071&amp;Theme=Imagery","2464071")</f>
        <v>2464071</v>
      </c>
      <c r="G335" s="16" t="s">
        <v>1755</v>
      </c>
      <c r="H335" s="17">
        <v>44398</v>
      </c>
      <c r="I335" s="18">
        <v>2627457</v>
      </c>
      <c r="J335" s="19">
        <v>0.97</v>
      </c>
      <c r="K335" s="16" t="s">
        <v>443</v>
      </c>
      <c r="L335" s="16" t="s">
        <v>20</v>
      </c>
      <c r="M335" s="16" t="s">
        <v>1756</v>
      </c>
      <c r="N335" s="16" t="s">
        <v>1757</v>
      </c>
    </row>
    <row r="336" spans="1:14" ht="20.100000000000001" customHeight="1" x14ac:dyDescent="0.25">
      <c r="A336" s="15" t="s">
        <v>1758</v>
      </c>
      <c r="B336" s="16" t="s">
        <v>1759</v>
      </c>
      <c r="C336" s="15">
        <v>8402403</v>
      </c>
      <c r="D336" s="16" t="s">
        <v>1760</v>
      </c>
      <c r="E336" s="15" t="s">
        <v>1761</v>
      </c>
      <c r="F336" s="21" t="str">
        <f>HYPERLINK("https://psearch.kitsapgov.com/webappa/index.html?parcelID=2524551&amp;Theme=Imagery","2524551")</f>
        <v>2524551</v>
      </c>
      <c r="G336" s="16" t="s">
        <v>1762</v>
      </c>
      <c r="H336" s="17">
        <v>44398</v>
      </c>
      <c r="I336" s="18">
        <v>61000</v>
      </c>
      <c r="J336" s="19">
        <v>0</v>
      </c>
      <c r="L336" s="16" t="s">
        <v>20</v>
      </c>
      <c r="M336" s="16" t="s">
        <v>1763</v>
      </c>
      <c r="N336" s="16" t="s">
        <v>1764</v>
      </c>
    </row>
    <row r="337" spans="1:14" ht="20.100000000000001" customHeight="1" x14ac:dyDescent="0.25">
      <c r="A337" s="15" t="s">
        <v>1765</v>
      </c>
      <c r="B337" s="16" t="s">
        <v>172</v>
      </c>
      <c r="C337" s="15">
        <v>9401120</v>
      </c>
      <c r="D337" s="16" t="s">
        <v>575</v>
      </c>
      <c r="E337" s="15" t="s">
        <v>1766</v>
      </c>
      <c r="F337" s="21" t="str">
        <f>HYPERLINK("https://psearch.kitsapgov.com/webappa/index.html?parcelID=1125897&amp;Theme=Imagery","1125897")</f>
        <v>1125897</v>
      </c>
      <c r="G337" s="16" t="s">
        <v>1767</v>
      </c>
      <c r="H337" s="17">
        <v>44398</v>
      </c>
      <c r="I337" s="18">
        <v>1350000</v>
      </c>
      <c r="J337" s="19">
        <v>0.75</v>
      </c>
      <c r="K337" s="16" t="s">
        <v>205</v>
      </c>
      <c r="L337" s="16" t="s">
        <v>38</v>
      </c>
      <c r="M337" s="16" t="s">
        <v>1768</v>
      </c>
      <c r="N337" s="16" t="s">
        <v>1769</v>
      </c>
    </row>
    <row r="338" spans="1:14" ht="20.100000000000001" customHeight="1" x14ac:dyDescent="0.25">
      <c r="A338" s="15" t="s">
        <v>1770</v>
      </c>
      <c r="B338" s="16" t="s">
        <v>222</v>
      </c>
      <c r="C338" s="15">
        <v>8402307</v>
      </c>
      <c r="D338" s="16" t="s">
        <v>131</v>
      </c>
      <c r="E338" s="15" t="s">
        <v>1771</v>
      </c>
      <c r="F338" s="21" t="str">
        <f>HYPERLINK("https://psearch.kitsapgov.com/webappa/index.html?parcelID=1035013&amp;Theme=Imagery","1035013")</f>
        <v>1035013</v>
      </c>
      <c r="G338" s="16" t="s">
        <v>1772</v>
      </c>
      <c r="H338" s="17">
        <v>44398</v>
      </c>
      <c r="I338" s="18">
        <v>51000</v>
      </c>
      <c r="J338" s="19">
        <v>0.3</v>
      </c>
      <c r="K338" s="16" t="s">
        <v>515</v>
      </c>
      <c r="L338" s="16" t="s">
        <v>94</v>
      </c>
      <c r="M338" s="16" t="s">
        <v>1773</v>
      </c>
      <c r="N338" s="16" t="s">
        <v>1774</v>
      </c>
    </row>
    <row r="339" spans="1:14" ht="20.100000000000001" customHeight="1" x14ac:dyDescent="0.25">
      <c r="A339" s="15" t="s">
        <v>1775</v>
      </c>
      <c r="B339" s="16" t="s">
        <v>159</v>
      </c>
      <c r="C339" s="15">
        <v>8401508</v>
      </c>
      <c r="D339" s="16" t="s">
        <v>1341</v>
      </c>
      <c r="E339" s="15" t="s">
        <v>1776</v>
      </c>
      <c r="F339" s="21" t="str">
        <f>HYPERLINK("https://psearch.kitsapgov.com/webappa/index.html?parcelID=2261139&amp;Theme=Imagery","2261139")</f>
        <v>2261139</v>
      </c>
      <c r="G339" s="16" t="s">
        <v>1777</v>
      </c>
      <c r="H339" s="17">
        <v>44375</v>
      </c>
      <c r="I339" s="18">
        <v>1000000</v>
      </c>
      <c r="J339" s="19">
        <v>0.88</v>
      </c>
      <c r="K339" s="16" t="s">
        <v>37</v>
      </c>
      <c r="L339" s="16" t="s">
        <v>20</v>
      </c>
      <c r="M339" s="16" t="s">
        <v>1778</v>
      </c>
      <c r="N339" s="16" t="s">
        <v>1779</v>
      </c>
    </row>
    <row r="340" spans="1:14" ht="20.100000000000001" customHeight="1" x14ac:dyDescent="0.25">
      <c r="A340" s="15" t="s">
        <v>1780</v>
      </c>
      <c r="B340" s="16" t="s">
        <v>98</v>
      </c>
      <c r="C340" s="15">
        <v>8400206</v>
      </c>
      <c r="D340" s="16" t="s">
        <v>99</v>
      </c>
      <c r="E340" s="15" t="s">
        <v>1781</v>
      </c>
      <c r="F340" s="21" t="str">
        <f>HYPERLINK("https://psearch.kitsapgov.com/webappa/index.html?parcelID=2071520&amp;Theme=Imagery","2071520")</f>
        <v>2071520</v>
      </c>
      <c r="G340" s="16" t="s">
        <v>486</v>
      </c>
      <c r="H340" s="17">
        <v>44405</v>
      </c>
      <c r="I340" s="18">
        <v>58000</v>
      </c>
      <c r="J340" s="19">
        <v>0</v>
      </c>
      <c r="L340" s="16" t="s">
        <v>20</v>
      </c>
      <c r="M340" s="16" t="s">
        <v>1782</v>
      </c>
      <c r="N340" s="16" t="s">
        <v>1783</v>
      </c>
    </row>
    <row r="341" spans="1:14" ht="20.100000000000001" customHeight="1" x14ac:dyDescent="0.25">
      <c r="A341" s="15" t="s">
        <v>1784</v>
      </c>
      <c r="B341" s="16" t="s">
        <v>24</v>
      </c>
      <c r="C341" s="15">
        <v>8402306</v>
      </c>
      <c r="D341" s="16" t="s">
        <v>621</v>
      </c>
      <c r="E341" s="15" t="s">
        <v>1785</v>
      </c>
      <c r="F341" s="21" t="str">
        <f>HYPERLINK("https://psearch.kitsapgov.com/webappa/index.html?parcelID=1738889&amp;Theme=Imagery","1738889")</f>
        <v>1738889</v>
      </c>
      <c r="G341" s="16" t="s">
        <v>1786</v>
      </c>
      <c r="H341" s="17">
        <v>44403</v>
      </c>
      <c r="I341" s="18">
        <v>220000</v>
      </c>
      <c r="J341" s="19">
        <v>0.09</v>
      </c>
      <c r="K341" s="16" t="s">
        <v>624</v>
      </c>
      <c r="L341" s="16" t="s">
        <v>20</v>
      </c>
      <c r="M341" s="16" t="s">
        <v>1787</v>
      </c>
      <c r="N341" s="16" t="s">
        <v>1788</v>
      </c>
    </row>
    <row r="342" spans="1:14" ht="20.100000000000001" customHeight="1" x14ac:dyDescent="0.25">
      <c r="A342" s="15" t="s">
        <v>1789</v>
      </c>
      <c r="B342" s="16" t="s">
        <v>78</v>
      </c>
      <c r="C342" s="15">
        <v>8402307</v>
      </c>
      <c r="D342" s="16" t="s">
        <v>131</v>
      </c>
      <c r="E342" s="15" t="s">
        <v>1790</v>
      </c>
      <c r="F342" s="21" t="str">
        <f>HYPERLINK("https://psearch.kitsapgov.com/webappa/index.html?parcelID=1036078&amp;Theme=Imagery","1036078")</f>
        <v>1036078</v>
      </c>
      <c r="G342" s="16" t="s">
        <v>1791</v>
      </c>
      <c r="H342" s="17">
        <v>44405</v>
      </c>
      <c r="I342" s="18">
        <v>300000</v>
      </c>
      <c r="J342" s="19">
        <v>0.46</v>
      </c>
      <c r="K342" s="16" t="s">
        <v>368</v>
      </c>
      <c r="L342" s="16" t="s">
        <v>213</v>
      </c>
      <c r="M342" s="16" t="s">
        <v>1792</v>
      </c>
      <c r="N342" s="16" t="s">
        <v>1793</v>
      </c>
    </row>
    <row r="343" spans="1:14" ht="20.100000000000001" customHeight="1" x14ac:dyDescent="0.25">
      <c r="A343" s="15" t="s">
        <v>1794</v>
      </c>
      <c r="B343" s="16" t="s">
        <v>98</v>
      </c>
      <c r="C343" s="15">
        <v>8400206</v>
      </c>
      <c r="D343" s="16" t="s">
        <v>99</v>
      </c>
      <c r="E343" s="15" t="s">
        <v>1795</v>
      </c>
      <c r="F343" s="21" t="str">
        <f>HYPERLINK("https://psearch.kitsapgov.com/webappa/index.html?parcelID=2071215&amp;Theme=Imagery","2071215")</f>
        <v>2071215</v>
      </c>
      <c r="G343" s="16" t="s">
        <v>1796</v>
      </c>
      <c r="H343" s="17">
        <v>44403</v>
      </c>
      <c r="I343" s="18">
        <v>24000</v>
      </c>
      <c r="J343" s="19">
        <v>0</v>
      </c>
      <c r="L343" s="16" t="s">
        <v>38</v>
      </c>
      <c r="M343" s="16" t="s">
        <v>1797</v>
      </c>
      <c r="N343" s="16" t="s">
        <v>1798</v>
      </c>
    </row>
    <row r="344" spans="1:14" ht="20.100000000000001" customHeight="1" x14ac:dyDescent="0.25">
      <c r="A344" s="15" t="s">
        <v>1799</v>
      </c>
      <c r="B344" s="16" t="s">
        <v>984</v>
      </c>
      <c r="C344" s="15">
        <v>8400203</v>
      </c>
      <c r="D344" s="16" t="s">
        <v>353</v>
      </c>
      <c r="E344" s="15" t="s">
        <v>1800</v>
      </c>
      <c r="F344" s="21" t="str">
        <f>HYPERLINK("https://psearch.kitsapgov.com/webappa/index.html?parcelID=2513125&amp;Theme=Imagery","2513125")</f>
        <v>2513125</v>
      </c>
      <c r="G344" s="16" t="s">
        <v>1801</v>
      </c>
      <c r="H344" s="17">
        <v>44400</v>
      </c>
      <c r="I344" s="18">
        <v>172000</v>
      </c>
      <c r="J344" s="19">
        <v>0</v>
      </c>
      <c r="L344" s="16" t="s">
        <v>20</v>
      </c>
      <c r="M344" s="16" t="s">
        <v>1802</v>
      </c>
      <c r="N344" s="16" t="s">
        <v>1803</v>
      </c>
    </row>
    <row r="345" spans="1:14" ht="20.100000000000001" customHeight="1" x14ac:dyDescent="0.25">
      <c r="A345" s="15" t="s">
        <v>1804</v>
      </c>
      <c r="B345" s="16" t="s">
        <v>209</v>
      </c>
      <c r="C345" s="15">
        <v>8401102</v>
      </c>
      <c r="D345" s="16" t="s">
        <v>17</v>
      </c>
      <c r="E345" s="15" t="s">
        <v>1805</v>
      </c>
      <c r="F345" s="21" t="str">
        <f>HYPERLINK("https://psearch.kitsapgov.com/webappa/index.html?parcelID=1659028&amp;Theme=Imagery","1659028")</f>
        <v>1659028</v>
      </c>
      <c r="G345" s="16" t="s">
        <v>1806</v>
      </c>
      <c r="H345" s="17">
        <v>44406</v>
      </c>
      <c r="I345" s="18">
        <v>800000</v>
      </c>
      <c r="J345" s="19">
        <v>0.17</v>
      </c>
      <c r="K345" s="16" t="s">
        <v>679</v>
      </c>
      <c r="L345" s="16" t="s">
        <v>20</v>
      </c>
      <c r="M345" s="16" t="s">
        <v>1807</v>
      </c>
      <c r="N345" s="16" t="s">
        <v>1808</v>
      </c>
    </row>
    <row r="346" spans="1:14" ht="20.100000000000001" customHeight="1" x14ac:dyDescent="0.25">
      <c r="A346" s="15" t="s">
        <v>1809</v>
      </c>
      <c r="B346" s="16" t="s">
        <v>24</v>
      </c>
      <c r="C346" s="15">
        <v>8401102</v>
      </c>
      <c r="D346" s="16" t="s">
        <v>17</v>
      </c>
      <c r="E346" s="15" t="s">
        <v>1810</v>
      </c>
      <c r="F346" s="21" t="str">
        <f>HYPERLINK("https://psearch.kitsapgov.com/webappa/index.html?parcelID=2293371&amp;Theme=Imagery","2293371")</f>
        <v>2293371</v>
      </c>
      <c r="G346" s="16" t="s">
        <v>1811</v>
      </c>
      <c r="H346" s="17">
        <v>44406</v>
      </c>
      <c r="I346" s="18">
        <v>800000</v>
      </c>
      <c r="J346" s="19">
        <v>0.12</v>
      </c>
      <c r="K346" s="16" t="s">
        <v>679</v>
      </c>
      <c r="L346" s="16" t="s">
        <v>20</v>
      </c>
      <c r="M346" s="16" t="s">
        <v>1807</v>
      </c>
      <c r="N346" s="16" t="s">
        <v>1812</v>
      </c>
    </row>
    <row r="347" spans="1:14" ht="20.100000000000001" customHeight="1" x14ac:dyDescent="0.25">
      <c r="A347" s="15" t="s">
        <v>1813</v>
      </c>
      <c r="B347" s="16" t="s">
        <v>24</v>
      </c>
      <c r="C347" s="15">
        <v>8100505</v>
      </c>
      <c r="D347" s="16" t="s">
        <v>670</v>
      </c>
      <c r="E347" s="15" t="s">
        <v>1814</v>
      </c>
      <c r="F347" s="21" t="str">
        <f>HYPERLINK("https://psearch.kitsapgov.com/webappa/index.html?parcelID=1490804&amp;Theme=Imagery","1490804")</f>
        <v>1490804</v>
      </c>
      <c r="G347" s="16" t="s">
        <v>1815</v>
      </c>
      <c r="H347" s="17">
        <v>44405</v>
      </c>
      <c r="I347" s="18">
        <v>205000</v>
      </c>
      <c r="J347" s="19">
        <v>0.36</v>
      </c>
      <c r="K347" s="16" t="s">
        <v>673</v>
      </c>
      <c r="L347" s="16" t="s">
        <v>20</v>
      </c>
      <c r="M347" s="16" t="s">
        <v>1816</v>
      </c>
      <c r="N347" s="16" t="s">
        <v>1817</v>
      </c>
    </row>
    <row r="348" spans="1:14" ht="20.100000000000001" customHeight="1" x14ac:dyDescent="0.25">
      <c r="A348" s="15" t="s">
        <v>1818</v>
      </c>
      <c r="B348" s="16" t="s">
        <v>130</v>
      </c>
      <c r="C348" s="15">
        <v>8400202</v>
      </c>
      <c r="D348" s="16" t="s">
        <v>440</v>
      </c>
      <c r="E348" s="15" t="s">
        <v>1819</v>
      </c>
      <c r="F348" s="21" t="str">
        <f>HYPERLINK("https://psearch.kitsapgov.com/webappa/index.html?parcelID=2458503&amp;Theme=Imagery","2458503")</f>
        <v>2458503</v>
      </c>
      <c r="G348" s="16" t="s">
        <v>1820</v>
      </c>
      <c r="H348" s="17">
        <v>44403</v>
      </c>
      <c r="I348" s="18">
        <v>1000000</v>
      </c>
      <c r="J348" s="19">
        <v>1.06</v>
      </c>
      <c r="K348" s="16" t="s">
        <v>443</v>
      </c>
      <c r="L348" s="16" t="s">
        <v>38</v>
      </c>
      <c r="M348" s="16" t="s">
        <v>1821</v>
      </c>
      <c r="N348" s="16" t="s">
        <v>1822</v>
      </c>
    </row>
    <row r="349" spans="1:14" ht="20.100000000000001" customHeight="1" x14ac:dyDescent="0.25">
      <c r="A349" s="15" t="s">
        <v>1823</v>
      </c>
      <c r="B349" s="16" t="s">
        <v>98</v>
      </c>
      <c r="C349" s="15">
        <v>8303660</v>
      </c>
      <c r="D349" s="16" t="s">
        <v>252</v>
      </c>
      <c r="E349" s="15" t="s">
        <v>1824</v>
      </c>
      <c r="F349" s="21" t="str">
        <f>HYPERLINK("https://psearch.kitsapgov.com/webappa/index.html?parcelID=1881770&amp;Theme=Imagery","1881770")</f>
        <v>1881770</v>
      </c>
      <c r="G349" s="16" t="s">
        <v>1825</v>
      </c>
      <c r="H349" s="17">
        <v>44403</v>
      </c>
      <c r="I349" s="18">
        <v>108000</v>
      </c>
      <c r="J349" s="19">
        <v>0</v>
      </c>
      <c r="L349" s="16" t="s">
        <v>20</v>
      </c>
      <c r="M349" s="16" t="s">
        <v>1826</v>
      </c>
      <c r="N349" s="16" t="s">
        <v>1827</v>
      </c>
    </row>
    <row r="350" spans="1:14" ht="20.100000000000001" customHeight="1" x14ac:dyDescent="0.25">
      <c r="A350" s="15" t="s">
        <v>1828</v>
      </c>
      <c r="B350" s="16" t="s">
        <v>62</v>
      </c>
      <c r="C350" s="15">
        <v>9400306</v>
      </c>
      <c r="D350" s="16" t="s">
        <v>1829</v>
      </c>
      <c r="E350" s="15" t="s">
        <v>1830</v>
      </c>
      <c r="F350" s="21" t="str">
        <f>HYPERLINK("https://psearch.kitsapgov.com/webappa/index.html?parcelID=1565001&amp;Theme=Imagery","1565001")</f>
        <v>1565001</v>
      </c>
      <c r="G350" s="16" t="s">
        <v>1831</v>
      </c>
      <c r="H350" s="17">
        <v>44406</v>
      </c>
      <c r="I350" s="18">
        <v>430000</v>
      </c>
      <c r="J350" s="19">
        <v>0.65</v>
      </c>
      <c r="K350" s="16" t="s">
        <v>82</v>
      </c>
      <c r="L350" s="16" t="s">
        <v>20</v>
      </c>
      <c r="M350" s="16" t="s">
        <v>1832</v>
      </c>
      <c r="N350" s="16" t="s">
        <v>1833</v>
      </c>
    </row>
    <row r="351" spans="1:14" ht="20.100000000000001" customHeight="1" x14ac:dyDescent="0.25">
      <c r="A351" s="15" t="s">
        <v>1834</v>
      </c>
      <c r="B351" s="16" t="s">
        <v>24</v>
      </c>
      <c r="C351" s="15">
        <v>8401104</v>
      </c>
      <c r="D351" s="16" t="s">
        <v>241</v>
      </c>
      <c r="E351" s="15" t="s">
        <v>1835</v>
      </c>
      <c r="F351" s="21" t="str">
        <f>HYPERLINK("https://psearch.kitsapgov.com/webappa/index.html?parcelID=2023802&amp;Theme=Imagery","2023802")</f>
        <v>2023802</v>
      </c>
      <c r="G351" s="16" t="s">
        <v>1836</v>
      </c>
      <c r="H351" s="17">
        <v>44417</v>
      </c>
      <c r="I351" s="18">
        <v>625000</v>
      </c>
      <c r="J351" s="19">
        <v>1.1000000000000001</v>
      </c>
      <c r="K351" s="16" t="s">
        <v>82</v>
      </c>
      <c r="L351" s="16" t="s">
        <v>20</v>
      </c>
      <c r="M351" s="16" t="s">
        <v>1837</v>
      </c>
      <c r="N351" s="16" t="s">
        <v>1838</v>
      </c>
    </row>
    <row r="352" spans="1:14" ht="20.100000000000001" customHeight="1" x14ac:dyDescent="0.25">
      <c r="A352" s="15" t="s">
        <v>1839</v>
      </c>
      <c r="B352" s="16" t="s">
        <v>62</v>
      </c>
      <c r="C352" s="15">
        <v>8100504</v>
      </c>
      <c r="D352" s="16" t="s">
        <v>210</v>
      </c>
      <c r="E352" s="15" t="s">
        <v>1840</v>
      </c>
      <c r="F352" s="21" t="str">
        <f>HYPERLINK("https://psearch.kitsapgov.com/webappa/index.html?parcelID=1911007&amp;Theme=Imagery","1911007")</f>
        <v>1911007</v>
      </c>
      <c r="G352" s="16" t="s">
        <v>1841</v>
      </c>
      <c r="H352" s="17">
        <v>44419</v>
      </c>
      <c r="I352" s="18">
        <v>300000</v>
      </c>
      <c r="J352" s="19">
        <v>0.52</v>
      </c>
      <c r="K352" s="16" t="s">
        <v>37</v>
      </c>
      <c r="L352" s="16" t="s">
        <v>20</v>
      </c>
      <c r="M352" s="16" t="s">
        <v>1842</v>
      </c>
      <c r="N352" s="16" t="s">
        <v>1843</v>
      </c>
    </row>
    <row r="353" spans="1:14" ht="20.100000000000001" customHeight="1" x14ac:dyDescent="0.25">
      <c r="A353" s="15" t="s">
        <v>1844</v>
      </c>
      <c r="B353" s="16" t="s">
        <v>62</v>
      </c>
      <c r="C353" s="15">
        <v>8100506</v>
      </c>
      <c r="D353" s="16" t="s">
        <v>286</v>
      </c>
      <c r="E353" s="15" t="s">
        <v>1845</v>
      </c>
      <c r="F353" s="21" t="str">
        <f>HYPERLINK("https://psearch.kitsapgov.com/webappa/index.html?parcelID=1104504&amp;Theme=Imagery","1104504")</f>
        <v>1104504</v>
      </c>
      <c r="G353" s="16" t="s">
        <v>1846</v>
      </c>
      <c r="H353" s="17">
        <v>44426</v>
      </c>
      <c r="I353" s="18">
        <v>900000</v>
      </c>
      <c r="J353" s="19">
        <v>0.47</v>
      </c>
      <c r="K353" s="16" t="s">
        <v>168</v>
      </c>
      <c r="L353" s="16" t="s">
        <v>116</v>
      </c>
      <c r="M353" s="16" t="s">
        <v>1847</v>
      </c>
      <c r="N353" s="16" t="s">
        <v>1848</v>
      </c>
    </row>
    <row r="354" spans="1:14" ht="20.100000000000001" customHeight="1" x14ac:dyDescent="0.25">
      <c r="A354" s="15" t="s">
        <v>1849</v>
      </c>
      <c r="B354" s="16" t="s">
        <v>209</v>
      </c>
      <c r="C354" s="15">
        <v>8400301</v>
      </c>
      <c r="D354" s="16" t="s">
        <v>1850</v>
      </c>
      <c r="E354" s="15" t="s">
        <v>1851</v>
      </c>
      <c r="F354" s="21" t="str">
        <f>HYPERLINK("https://psearch.kitsapgov.com/webappa/index.html?parcelID=1582030&amp;Theme=Imagery","1582030")</f>
        <v>1582030</v>
      </c>
      <c r="G354" s="16" t="s">
        <v>1852</v>
      </c>
      <c r="H354" s="17">
        <v>44427</v>
      </c>
      <c r="I354" s="18">
        <v>1000000</v>
      </c>
      <c r="J354" s="19">
        <v>0.09</v>
      </c>
      <c r="K354" s="16" t="s">
        <v>1853</v>
      </c>
      <c r="L354" s="16" t="s">
        <v>20</v>
      </c>
      <c r="M354" s="16" t="s">
        <v>1854</v>
      </c>
      <c r="N354" s="16" t="s">
        <v>1855</v>
      </c>
    </row>
    <row r="355" spans="1:14" ht="20.100000000000001" customHeight="1" x14ac:dyDescent="0.25">
      <c r="A355" s="15" t="s">
        <v>1856</v>
      </c>
      <c r="B355" s="16" t="s">
        <v>560</v>
      </c>
      <c r="C355" s="15">
        <v>8402405</v>
      </c>
      <c r="D355" s="16" t="s">
        <v>71</v>
      </c>
      <c r="E355" s="15" t="s">
        <v>1857</v>
      </c>
      <c r="F355" s="21" t="str">
        <f>HYPERLINK("https://psearch.kitsapgov.com/webappa/index.html?parcelID=2455848&amp;Theme=Imagery","2455848")</f>
        <v>2455848</v>
      </c>
      <c r="G355" s="16" t="s">
        <v>1858</v>
      </c>
      <c r="H355" s="17">
        <v>44429</v>
      </c>
      <c r="I355" s="18">
        <v>80000</v>
      </c>
      <c r="J355" s="19">
        <v>0</v>
      </c>
      <c r="L355" s="16" t="s">
        <v>944</v>
      </c>
      <c r="M355" s="16" t="s">
        <v>1859</v>
      </c>
      <c r="N355" s="16" t="s">
        <v>1860</v>
      </c>
    </row>
    <row r="356" spans="1:14" ht="20.100000000000001" customHeight="1" x14ac:dyDescent="0.25">
      <c r="A356" s="15" t="s">
        <v>1861</v>
      </c>
      <c r="B356" s="16" t="s">
        <v>560</v>
      </c>
      <c r="C356" s="15">
        <v>8402405</v>
      </c>
      <c r="D356" s="16" t="s">
        <v>71</v>
      </c>
      <c r="E356" s="15" t="s">
        <v>1862</v>
      </c>
      <c r="F356" s="21" t="str">
        <f>HYPERLINK("https://psearch.kitsapgov.com/webappa/index.html?parcelID=2288769&amp;Theme=Imagery","2288769")</f>
        <v>2288769</v>
      </c>
      <c r="G356" s="16" t="s">
        <v>1863</v>
      </c>
      <c r="H356" s="17">
        <v>44418</v>
      </c>
      <c r="I356" s="18">
        <v>36000</v>
      </c>
      <c r="J356" s="19">
        <v>0</v>
      </c>
      <c r="L356" s="16" t="s">
        <v>944</v>
      </c>
      <c r="M356" s="16" t="s">
        <v>1864</v>
      </c>
      <c r="N356" s="16" t="s">
        <v>1865</v>
      </c>
    </row>
    <row r="357" spans="1:14" ht="20.100000000000001" customHeight="1" x14ac:dyDescent="0.25">
      <c r="A357" s="15" t="s">
        <v>1866</v>
      </c>
      <c r="B357" s="16" t="s">
        <v>62</v>
      </c>
      <c r="C357" s="15">
        <v>8400202</v>
      </c>
      <c r="D357" s="16" t="s">
        <v>440</v>
      </c>
      <c r="E357" s="15" t="s">
        <v>1867</v>
      </c>
      <c r="F357" s="21" t="str">
        <f>HYPERLINK("https://psearch.kitsapgov.com/webappa/index.html?parcelID=2600492&amp;Theme=Imagery","2600492")</f>
        <v>2600492</v>
      </c>
      <c r="G357" s="16" t="s">
        <v>1868</v>
      </c>
      <c r="H357" s="17">
        <v>44427</v>
      </c>
      <c r="I357" s="18">
        <v>1000000</v>
      </c>
      <c r="J357" s="19">
        <v>1.26</v>
      </c>
      <c r="K357" s="16" t="s">
        <v>443</v>
      </c>
      <c r="L357" s="16" t="s">
        <v>38</v>
      </c>
      <c r="M357" s="16" t="s">
        <v>444</v>
      </c>
      <c r="N357" s="16" t="s">
        <v>1869</v>
      </c>
    </row>
    <row r="358" spans="1:14" ht="20.100000000000001" customHeight="1" x14ac:dyDescent="0.25">
      <c r="A358" s="15" t="s">
        <v>1870</v>
      </c>
      <c r="B358" s="16" t="s">
        <v>262</v>
      </c>
      <c r="C358" s="15">
        <v>8402307</v>
      </c>
      <c r="D358" s="16" t="s">
        <v>131</v>
      </c>
      <c r="E358" s="15" t="s">
        <v>1871</v>
      </c>
      <c r="F358" s="21" t="str">
        <f>HYPERLINK("https://psearch.kitsapgov.com/webappa/index.html?parcelID=1035856&amp;Theme=Imagery","1035856")</f>
        <v>1035856</v>
      </c>
      <c r="G358" s="16" t="s">
        <v>1872</v>
      </c>
      <c r="H358" s="17">
        <v>44431</v>
      </c>
      <c r="I358" s="18">
        <v>230000</v>
      </c>
      <c r="J358" s="19">
        <v>0.59</v>
      </c>
      <c r="K358" s="16" t="s">
        <v>368</v>
      </c>
      <c r="L358" s="16" t="s">
        <v>20</v>
      </c>
      <c r="M358" s="16" t="s">
        <v>1873</v>
      </c>
      <c r="N358" s="16" t="s">
        <v>1874</v>
      </c>
    </row>
    <row r="359" spans="1:14" ht="20.100000000000001" customHeight="1" x14ac:dyDescent="0.25">
      <c r="A359" s="15" t="s">
        <v>1875</v>
      </c>
      <c r="B359" s="16" t="s">
        <v>105</v>
      </c>
      <c r="C359" s="15">
        <v>8402307</v>
      </c>
      <c r="D359" s="16" t="s">
        <v>131</v>
      </c>
      <c r="E359" s="15" t="s">
        <v>1876</v>
      </c>
      <c r="F359" s="21" t="str">
        <f>HYPERLINK("https://psearch.kitsapgov.com/webappa/index.html?parcelID=1046978&amp;Theme=Imagery","1046978")</f>
        <v>1046978</v>
      </c>
      <c r="G359" s="16" t="s">
        <v>1877</v>
      </c>
      <c r="H359" s="17">
        <v>44426</v>
      </c>
      <c r="I359" s="18">
        <v>550000</v>
      </c>
      <c r="J359" s="19">
        <v>9.67</v>
      </c>
      <c r="K359" s="16" t="s">
        <v>515</v>
      </c>
      <c r="L359" s="16" t="s">
        <v>20</v>
      </c>
      <c r="M359" s="16" t="s">
        <v>1878</v>
      </c>
      <c r="N359" s="16" t="s">
        <v>517</v>
      </c>
    </row>
    <row r="360" spans="1:14" ht="20.100000000000001" customHeight="1" x14ac:dyDescent="0.25">
      <c r="A360" s="15" t="s">
        <v>1879</v>
      </c>
      <c r="B360" s="16" t="s">
        <v>98</v>
      </c>
      <c r="C360" s="15">
        <v>8303660</v>
      </c>
      <c r="D360" s="16" t="s">
        <v>252</v>
      </c>
      <c r="E360" s="15" t="s">
        <v>1880</v>
      </c>
      <c r="F360" s="21" t="str">
        <f>HYPERLINK("https://psearch.kitsapgov.com/webappa/index.html?parcelID=1882463&amp;Theme=Imagery","1882463")</f>
        <v>1882463</v>
      </c>
      <c r="G360" s="16" t="s">
        <v>1881</v>
      </c>
      <c r="H360" s="17">
        <v>44433</v>
      </c>
      <c r="I360" s="18">
        <v>90000</v>
      </c>
      <c r="J360" s="19">
        <v>0</v>
      </c>
      <c r="L360" s="16" t="s">
        <v>20</v>
      </c>
      <c r="M360" s="16" t="s">
        <v>1882</v>
      </c>
      <c r="N360" s="16" t="s">
        <v>1883</v>
      </c>
    </row>
    <row r="361" spans="1:14" ht="20.100000000000001" customHeight="1" x14ac:dyDescent="0.25">
      <c r="A361" s="15" t="s">
        <v>1884</v>
      </c>
      <c r="B361" s="16" t="s">
        <v>105</v>
      </c>
      <c r="C361" s="15">
        <v>8100510</v>
      </c>
      <c r="D361" s="16" t="s">
        <v>106</v>
      </c>
      <c r="E361" s="15" t="s">
        <v>1885</v>
      </c>
      <c r="F361" s="21" t="str">
        <f>HYPERLINK("https://psearch.kitsapgov.com/webappa/index.html?parcelID=2134518&amp;Theme=Imagery","2134518")</f>
        <v>2134518</v>
      </c>
      <c r="G361" s="16" t="s">
        <v>1886</v>
      </c>
      <c r="H361" s="17">
        <v>44435</v>
      </c>
      <c r="I361" s="18">
        <v>76000</v>
      </c>
      <c r="J361" s="19">
        <v>0.34</v>
      </c>
      <c r="K361" s="16" t="s">
        <v>109</v>
      </c>
      <c r="L361" s="16" t="s">
        <v>38</v>
      </c>
      <c r="M361" s="16" t="s">
        <v>1887</v>
      </c>
      <c r="N361" s="16" t="s">
        <v>1888</v>
      </c>
    </row>
    <row r="362" spans="1:14" ht="20.100000000000001" customHeight="1" x14ac:dyDescent="0.25">
      <c r="A362" s="15" t="s">
        <v>1889</v>
      </c>
      <c r="B362" s="16" t="s">
        <v>78</v>
      </c>
      <c r="C362" s="15">
        <v>8402307</v>
      </c>
      <c r="D362" s="16" t="s">
        <v>131</v>
      </c>
      <c r="E362" s="15" t="s">
        <v>1890</v>
      </c>
      <c r="F362" s="21" t="str">
        <f>HYPERLINK("https://psearch.kitsapgov.com/webappa/index.html?parcelID=1037241&amp;Theme=Imagery","1037241")</f>
        <v>1037241</v>
      </c>
      <c r="G362" s="16" t="s">
        <v>1891</v>
      </c>
      <c r="H362" s="17">
        <v>44435</v>
      </c>
      <c r="I362" s="18">
        <v>630000</v>
      </c>
      <c r="J362" s="19">
        <v>0.6</v>
      </c>
      <c r="K362" s="16" t="s">
        <v>368</v>
      </c>
      <c r="L362" s="16" t="s">
        <v>38</v>
      </c>
      <c r="M362" s="16" t="s">
        <v>1892</v>
      </c>
      <c r="N362" s="16" t="s">
        <v>1893</v>
      </c>
    </row>
    <row r="363" spans="1:14" ht="20.100000000000001" customHeight="1" x14ac:dyDescent="0.25">
      <c r="A363" s="15" t="s">
        <v>1894</v>
      </c>
      <c r="B363" s="16" t="s">
        <v>222</v>
      </c>
      <c r="C363" s="15">
        <v>8400202</v>
      </c>
      <c r="D363" s="16" t="s">
        <v>440</v>
      </c>
      <c r="E363" s="15" t="s">
        <v>1895</v>
      </c>
      <c r="F363" s="21" t="str">
        <f>HYPERLINK("https://psearch.kitsapgov.com/webappa/index.html?parcelID=2116101&amp;Theme=Imagery","2116101")</f>
        <v>2116101</v>
      </c>
      <c r="G363" s="16" t="s">
        <v>1896</v>
      </c>
      <c r="H363" s="17">
        <v>44439</v>
      </c>
      <c r="I363" s="18">
        <v>950000</v>
      </c>
      <c r="J363" s="19">
        <v>5.31</v>
      </c>
      <c r="K363" s="16" t="s">
        <v>1897</v>
      </c>
      <c r="L363" s="16" t="s">
        <v>38</v>
      </c>
      <c r="M363" s="16" t="s">
        <v>1898</v>
      </c>
      <c r="N363" s="16" t="s">
        <v>1899</v>
      </c>
    </row>
    <row r="364" spans="1:14" ht="20.100000000000001" customHeight="1" x14ac:dyDescent="0.25">
      <c r="A364" s="15" t="s">
        <v>1900</v>
      </c>
      <c r="B364" s="16" t="s">
        <v>317</v>
      </c>
      <c r="C364" s="15">
        <v>9402395</v>
      </c>
      <c r="D364" s="16" t="s">
        <v>1216</v>
      </c>
      <c r="E364" s="15" t="s">
        <v>1901</v>
      </c>
      <c r="F364" s="21" t="str">
        <f>HYPERLINK("https://psearch.kitsapgov.com/webappa/index.html?parcelID=1501931&amp;Theme=Imagery","1501931")</f>
        <v>1501931</v>
      </c>
      <c r="G364" s="16" t="s">
        <v>1902</v>
      </c>
      <c r="H364" s="17">
        <v>44438</v>
      </c>
      <c r="I364" s="18">
        <v>750000</v>
      </c>
      <c r="J364" s="19">
        <v>0.22</v>
      </c>
      <c r="K364" s="16" t="s">
        <v>874</v>
      </c>
      <c r="L364" s="16" t="s">
        <v>20</v>
      </c>
      <c r="M364" s="16" t="s">
        <v>1903</v>
      </c>
      <c r="N364" s="16" t="s">
        <v>1904</v>
      </c>
    </row>
    <row r="365" spans="1:14" ht="20.100000000000001" customHeight="1" x14ac:dyDescent="0.25">
      <c r="A365" s="15" t="s">
        <v>1905</v>
      </c>
      <c r="B365" s="16" t="s">
        <v>560</v>
      </c>
      <c r="C365" s="15">
        <v>8402405</v>
      </c>
      <c r="D365" s="16" t="s">
        <v>71</v>
      </c>
      <c r="E365" s="15" t="s">
        <v>1906</v>
      </c>
      <c r="F365" s="21" t="str">
        <f>HYPERLINK("https://psearch.kitsapgov.com/webappa/index.html?parcelID=2455855&amp;Theme=Imagery","2455855")</f>
        <v>2455855</v>
      </c>
      <c r="G365" s="16" t="s">
        <v>1907</v>
      </c>
      <c r="H365" s="17">
        <v>44452</v>
      </c>
      <c r="I365" s="18">
        <v>80000</v>
      </c>
      <c r="J365" s="19">
        <v>0</v>
      </c>
      <c r="L365" s="16" t="s">
        <v>944</v>
      </c>
      <c r="M365" s="16" t="s">
        <v>1908</v>
      </c>
      <c r="N365" s="16" t="s">
        <v>1909</v>
      </c>
    </row>
    <row r="366" spans="1:14" ht="20.100000000000001" customHeight="1" x14ac:dyDescent="0.25">
      <c r="A366" s="15" t="s">
        <v>1910</v>
      </c>
      <c r="B366" s="16" t="s">
        <v>78</v>
      </c>
      <c r="C366" s="15">
        <v>8400202</v>
      </c>
      <c r="D366" s="16" t="s">
        <v>440</v>
      </c>
      <c r="E366" s="15" t="s">
        <v>1911</v>
      </c>
      <c r="F366" s="21" t="str">
        <f>HYPERLINK("https://psearch.kitsapgov.com/webappa/index.html?parcelID=1340751&amp;Theme=Imagery","1340751")</f>
        <v>1340751</v>
      </c>
      <c r="G366" s="16" t="s">
        <v>1912</v>
      </c>
      <c r="H366" s="17">
        <v>44452</v>
      </c>
      <c r="I366" s="18">
        <v>487550</v>
      </c>
      <c r="J366" s="19">
        <v>0.23</v>
      </c>
      <c r="K366" s="16" t="s">
        <v>443</v>
      </c>
      <c r="L366" s="16" t="s">
        <v>38</v>
      </c>
      <c r="M366" s="16" t="s">
        <v>1913</v>
      </c>
      <c r="N366" s="16" t="s">
        <v>1914</v>
      </c>
    </row>
    <row r="367" spans="1:14" ht="20.100000000000001" customHeight="1" x14ac:dyDescent="0.25">
      <c r="A367" s="15" t="s">
        <v>1915</v>
      </c>
      <c r="B367" s="16" t="s">
        <v>24</v>
      </c>
      <c r="C367" s="15">
        <v>8401101</v>
      </c>
      <c r="D367" s="16" t="s">
        <v>305</v>
      </c>
      <c r="E367" s="15" t="s">
        <v>1916</v>
      </c>
      <c r="F367" s="21" t="str">
        <f>HYPERLINK("https://psearch.kitsapgov.com/webappa/index.html?parcelID=2500569&amp;Theme=Imagery","2500569")</f>
        <v>2500569</v>
      </c>
      <c r="G367" s="16" t="s">
        <v>1917</v>
      </c>
      <c r="H367" s="17">
        <v>44452</v>
      </c>
      <c r="I367" s="18">
        <v>500000</v>
      </c>
      <c r="J367" s="19">
        <v>0.24</v>
      </c>
      <c r="K367" s="16" t="s">
        <v>308</v>
      </c>
      <c r="L367" s="16" t="s">
        <v>38</v>
      </c>
      <c r="M367" s="16" t="s">
        <v>1918</v>
      </c>
      <c r="N367" s="16" t="s">
        <v>1919</v>
      </c>
    </row>
    <row r="368" spans="1:14" ht="20.100000000000001" customHeight="1" x14ac:dyDescent="0.25">
      <c r="A368" s="15" t="s">
        <v>1920</v>
      </c>
      <c r="B368" s="16" t="s">
        <v>24</v>
      </c>
      <c r="C368" s="15">
        <v>8401101</v>
      </c>
      <c r="D368" s="16" t="s">
        <v>305</v>
      </c>
      <c r="E368" s="15" t="s">
        <v>1921</v>
      </c>
      <c r="F368" s="21" t="str">
        <f>HYPERLINK("https://psearch.kitsapgov.com/webappa/index.html?parcelID=2458156&amp;Theme=Imagery","2458156")</f>
        <v>2458156</v>
      </c>
      <c r="G368" s="16" t="s">
        <v>1922</v>
      </c>
      <c r="H368" s="17">
        <v>44438</v>
      </c>
      <c r="I368" s="18">
        <v>3760000</v>
      </c>
      <c r="J368" s="19">
        <v>0.26</v>
      </c>
      <c r="K368" s="16" t="s">
        <v>308</v>
      </c>
      <c r="L368" s="16" t="s">
        <v>20</v>
      </c>
      <c r="M368" s="16" t="s">
        <v>1923</v>
      </c>
      <c r="N368" s="16" t="s">
        <v>1924</v>
      </c>
    </row>
    <row r="369" spans="1:14" ht="20.100000000000001" customHeight="1" x14ac:dyDescent="0.25">
      <c r="A369" s="15" t="s">
        <v>1925</v>
      </c>
      <c r="B369" s="16" t="s">
        <v>834</v>
      </c>
      <c r="C369" s="15">
        <v>8400302</v>
      </c>
      <c r="D369" s="16" t="s">
        <v>397</v>
      </c>
      <c r="E369" s="15" t="s">
        <v>1926</v>
      </c>
      <c r="F369" s="21" t="str">
        <f>HYPERLINK("https://psearch.kitsapgov.com/webappa/index.html?parcelID=2383263&amp;Theme=Imagery","2383263")</f>
        <v>2383263</v>
      </c>
      <c r="G369" s="16" t="s">
        <v>1927</v>
      </c>
      <c r="H369" s="17">
        <v>44453</v>
      </c>
      <c r="I369" s="18">
        <v>625000</v>
      </c>
      <c r="J369" s="19">
        <v>0.7</v>
      </c>
      <c r="K369" s="16" t="s">
        <v>343</v>
      </c>
      <c r="L369" s="16" t="s">
        <v>29</v>
      </c>
      <c r="M369" s="16" t="s">
        <v>1928</v>
      </c>
      <c r="N369" s="16" t="s">
        <v>1929</v>
      </c>
    </row>
    <row r="370" spans="1:14" ht="20.100000000000001" customHeight="1" x14ac:dyDescent="0.25">
      <c r="A370" s="15" t="s">
        <v>1930</v>
      </c>
      <c r="B370" s="16" t="s">
        <v>105</v>
      </c>
      <c r="C370" s="15">
        <v>8100510</v>
      </c>
      <c r="D370" s="16" t="s">
        <v>106</v>
      </c>
      <c r="E370" s="15" t="s">
        <v>107</v>
      </c>
      <c r="F370" s="21" t="str">
        <f>HYPERLINK("https://psearch.kitsapgov.com/webappa/index.html?parcelID=1438605&amp;Theme=Imagery","1438605")</f>
        <v>1438605</v>
      </c>
      <c r="G370" s="16" t="s">
        <v>108</v>
      </c>
      <c r="H370" s="17">
        <v>44449</v>
      </c>
      <c r="I370" s="18">
        <v>85000</v>
      </c>
      <c r="J370" s="19">
        <v>0.22</v>
      </c>
      <c r="K370" s="16" t="s">
        <v>109</v>
      </c>
      <c r="L370" s="16" t="s">
        <v>20</v>
      </c>
      <c r="M370" s="16" t="s">
        <v>1931</v>
      </c>
      <c r="N370" s="16" t="s">
        <v>1932</v>
      </c>
    </row>
    <row r="371" spans="1:14" ht="20.100000000000001" customHeight="1" x14ac:dyDescent="0.25">
      <c r="A371" s="15" t="s">
        <v>1933</v>
      </c>
      <c r="B371" s="16" t="s">
        <v>105</v>
      </c>
      <c r="C371" s="15">
        <v>8100510</v>
      </c>
      <c r="D371" s="16" t="s">
        <v>106</v>
      </c>
      <c r="E371" s="15" t="s">
        <v>1934</v>
      </c>
      <c r="F371" s="21" t="str">
        <f>HYPERLINK("https://psearch.kitsapgov.com/webappa/index.html?parcelID=1438670&amp;Theme=Imagery","1438670")</f>
        <v>1438670</v>
      </c>
      <c r="G371" s="16" t="s">
        <v>1935</v>
      </c>
      <c r="H371" s="17">
        <v>44455</v>
      </c>
      <c r="I371" s="18">
        <v>98500</v>
      </c>
      <c r="J371" s="19">
        <v>0.22</v>
      </c>
      <c r="K371" s="16" t="s">
        <v>109</v>
      </c>
      <c r="L371" s="16" t="s">
        <v>20</v>
      </c>
      <c r="M371" s="16" t="s">
        <v>1936</v>
      </c>
      <c r="N371" s="16" t="s">
        <v>1937</v>
      </c>
    </row>
    <row r="372" spans="1:14" ht="20.100000000000001" customHeight="1" x14ac:dyDescent="0.25">
      <c r="A372" s="15" t="s">
        <v>1938</v>
      </c>
      <c r="B372" s="16" t="s">
        <v>78</v>
      </c>
      <c r="C372" s="15">
        <v>9402390</v>
      </c>
      <c r="D372" s="16" t="s">
        <v>173</v>
      </c>
      <c r="E372" s="15" t="s">
        <v>1939</v>
      </c>
      <c r="F372" s="21" t="str">
        <f>HYPERLINK("https://psearch.kitsapgov.com/webappa/index.html?parcelID=1034990&amp;Theme=Imagery","1034990")</f>
        <v>1034990</v>
      </c>
      <c r="G372" s="16" t="s">
        <v>1940</v>
      </c>
      <c r="H372" s="17">
        <v>44426</v>
      </c>
      <c r="I372" s="18">
        <v>1000</v>
      </c>
      <c r="J372" s="19">
        <v>0.95</v>
      </c>
      <c r="K372" s="16" t="s">
        <v>515</v>
      </c>
      <c r="L372" s="16" t="s">
        <v>631</v>
      </c>
      <c r="M372" s="16" t="s">
        <v>1941</v>
      </c>
      <c r="N372" s="16" t="s">
        <v>907</v>
      </c>
    </row>
    <row r="373" spans="1:14" ht="20.100000000000001" customHeight="1" x14ac:dyDescent="0.25">
      <c r="A373" s="15" t="s">
        <v>1942</v>
      </c>
      <c r="B373" s="16" t="s">
        <v>317</v>
      </c>
      <c r="C373" s="15">
        <v>9402395</v>
      </c>
      <c r="D373" s="16" t="s">
        <v>1216</v>
      </c>
      <c r="E373" s="15" t="s">
        <v>1943</v>
      </c>
      <c r="F373" s="21" t="str">
        <f>HYPERLINK("https://psearch.kitsapgov.com/webappa/index.html?parcelID=2461119&amp;Theme=Imagery","2461119")</f>
        <v>2461119</v>
      </c>
      <c r="G373" s="16" t="s">
        <v>1944</v>
      </c>
      <c r="H373" s="17">
        <v>44456</v>
      </c>
      <c r="I373" s="18">
        <v>841000</v>
      </c>
      <c r="J373" s="19">
        <v>0.13</v>
      </c>
      <c r="K373" s="16" t="s">
        <v>874</v>
      </c>
      <c r="L373" s="16" t="s">
        <v>20</v>
      </c>
      <c r="M373" s="16" t="s">
        <v>1945</v>
      </c>
      <c r="N373" s="16" t="s">
        <v>1946</v>
      </c>
    </row>
    <row r="374" spans="1:14" ht="20.100000000000001" customHeight="1" x14ac:dyDescent="0.25">
      <c r="A374" s="15" t="s">
        <v>1947</v>
      </c>
      <c r="B374" s="16" t="s">
        <v>1948</v>
      </c>
      <c r="C374" s="15">
        <v>8100502</v>
      </c>
      <c r="D374" s="16" t="s">
        <v>142</v>
      </c>
      <c r="E374" s="15" t="s">
        <v>1949</v>
      </c>
      <c r="F374" s="21" t="str">
        <f>HYPERLINK("https://psearch.kitsapgov.com/webappa/index.html?parcelID=1966829&amp;Theme=Imagery","1966829")</f>
        <v>1966829</v>
      </c>
      <c r="G374" s="16" t="s">
        <v>1950</v>
      </c>
      <c r="H374" s="17">
        <v>44467</v>
      </c>
      <c r="I374" s="18">
        <v>1750000</v>
      </c>
      <c r="J374" s="19">
        <v>2.68</v>
      </c>
      <c r="K374" s="16" t="s">
        <v>168</v>
      </c>
      <c r="L374" s="16" t="s">
        <v>20</v>
      </c>
      <c r="M374" s="16" t="s">
        <v>1951</v>
      </c>
      <c r="N374" s="16" t="s">
        <v>1952</v>
      </c>
    </row>
    <row r="375" spans="1:14" ht="20.100000000000001" customHeight="1" x14ac:dyDescent="0.25">
      <c r="A375" s="15" t="s">
        <v>1953</v>
      </c>
      <c r="B375" s="16" t="s">
        <v>24</v>
      </c>
      <c r="C375" s="15">
        <v>8400203</v>
      </c>
      <c r="D375" s="16" t="s">
        <v>353</v>
      </c>
      <c r="E375" s="15" t="s">
        <v>1954</v>
      </c>
      <c r="F375" s="21" t="str">
        <f>HYPERLINK("https://psearch.kitsapgov.com/webappa/index.html?parcelID=1335066&amp;Theme=Imagery","1335066")</f>
        <v>1335066</v>
      </c>
      <c r="G375" s="16" t="s">
        <v>1955</v>
      </c>
      <c r="H375" s="17">
        <v>44466</v>
      </c>
      <c r="I375" s="18">
        <v>1190000</v>
      </c>
      <c r="J375" s="19">
        <v>0.5</v>
      </c>
      <c r="K375" s="16" t="s">
        <v>356</v>
      </c>
      <c r="L375" s="16" t="s">
        <v>38</v>
      </c>
      <c r="M375" s="16" t="s">
        <v>1956</v>
      </c>
      <c r="N375" s="16" t="s">
        <v>1812</v>
      </c>
    </row>
    <row r="376" spans="1:14" ht="20.100000000000001" customHeight="1" x14ac:dyDescent="0.25">
      <c r="A376" s="15" t="s">
        <v>1957</v>
      </c>
      <c r="B376" s="16" t="s">
        <v>105</v>
      </c>
      <c r="C376" s="15">
        <v>8401508</v>
      </c>
      <c r="D376" s="16" t="s">
        <v>1341</v>
      </c>
      <c r="E376" s="15" t="s">
        <v>1958</v>
      </c>
      <c r="F376" s="21" t="str">
        <f>HYPERLINK("https://psearch.kitsapgov.com/webappa/index.html?parcelID=1279413&amp;Theme=Imagery","1279413")</f>
        <v>1279413</v>
      </c>
      <c r="G376" s="16" t="s">
        <v>1959</v>
      </c>
      <c r="H376" s="17">
        <v>44467</v>
      </c>
      <c r="I376" s="18">
        <v>175000</v>
      </c>
      <c r="J376" s="19">
        <v>2.99</v>
      </c>
      <c r="K376" s="16" t="s">
        <v>37</v>
      </c>
      <c r="L376" s="16" t="s">
        <v>38</v>
      </c>
      <c r="M376" s="16" t="s">
        <v>1960</v>
      </c>
      <c r="N376" s="16" t="s">
        <v>1961</v>
      </c>
    </row>
    <row r="377" spans="1:14" ht="20.100000000000001" customHeight="1" x14ac:dyDescent="0.25">
      <c r="A377" s="15" t="s">
        <v>1962</v>
      </c>
      <c r="B377" s="16" t="s">
        <v>42</v>
      </c>
      <c r="C377" s="15">
        <v>8401509</v>
      </c>
      <c r="D377" s="16" t="s">
        <v>1963</v>
      </c>
      <c r="E377" s="15" t="s">
        <v>1964</v>
      </c>
      <c r="F377" s="21" t="str">
        <f>HYPERLINK("https://psearch.kitsapgov.com/webappa/index.html?parcelID=2296234&amp;Theme=Imagery","2296234")</f>
        <v>2296234</v>
      </c>
      <c r="G377" s="16" t="s">
        <v>1965</v>
      </c>
      <c r="H377" s="17">
        <v>44464</v>
      </c>
      <c r="I377" s="18">
        <v>1550000</v>
      </c>
      <c r="J377" s="19">
        <v>0.74</v>
      </c>
      <c r="K377" s="16" t="s">
        <v>679</v>
      </c>
      <c r="L377" s="16" t="s">
        <v>38</v>
      </c>
      <c r="M377" s="16" t="s">
        <v>1966</v>
      </c>
      <c r="N377" s="16" t="s">
        <v>1967</v>
      </c>
    </row>
    <row r="378" spans="1:14" ht="20.100000000000001" customHeight="1" x14ac:dyDescent="0.25">
      <c r="A378" s="15" t="s">
        <v>1968</v>
      </c>
      <c r="B378" s="16" t="s">
        <v>42</v>
      </c>
      <c r="C378" s="15">
        <v>8402307</v>
      </c>
      <c r="D378" s="16" t="s">
        <v>131</v>
      </c>
      <c r="E378" s="15" t="s">
        <v>1969</v>
      </c>
      <c r="F378" s="21" t="str">
        <f>HYPERLINK("https://psearch.kitsapgov.com/webappa/index.html?parcelID=2373066&amp;Theme=Imagery","2373066")</f>
        <v>2373066</v>
      </c>
      <c r="G378" s="16" t="s">
        <v>1970</v>
      </c>
      <c r="H378" s="17">
        <v>44464</v>
      </c>
      <c r="I378" s="18">
        <v>1000000</v>
      </c>
      <c r="J378" s="19">
        <v>0.44</v>
      </c>
      <c r="K378" s="16" t="s">
        <v>276</v>
      </c>
      <c r="L378" s="16" t="s">
        <v>38</v>
      </c>
      <c r="M378" s="16" t="s">
        <v>1971</v>
      </c>
      <c r="N378" s="16" t="s">
        <v>1967</v>
      </c>
    </row>
    <row r="379" spans="1:14" ht="20.100000000000001" customHeight="1" x14ac:dyDescent="0.25">
      <c r="A379" s="15" t="s">
        <v>1972</v>
      </c>
      <c r="B379" s="16" t="s">
        <v>130</v>
      </c>
      <c r="C379" s="15">
        <v>8400202</v>
      </c>
      <c r="D379" s="16" t="s">
        <v>440</v>
      </c>
      <c r="E379" s="15" t="s">
        <v>1973</v>
      </c>
      <c r="F379" s="21" t="str">
        <f>HYPERLINK("https://psearch.kitsapgov.com/webappa/index.html?parcelID=2334795&amp;Theme=Imagery","2334795")</f>
        <v>2334795</v>
      </c>
      <c r="G379" s="16" t="s">
        <v>1974</v>
      </c>
      <c r="H379" s="17">
        <v>44468</v>
      </c>
      <c r="I379" s="18">
        <v>4600000</v>
      </c>
      <c r="J379" s="19">
        <v>0.97</v>
      </c>
      <c r="K379" s="16" t="s">
        <v>443</v>
      </c>
      <c r="L379" s="16" t="s">
        <v>38</v>
      </c>
      <c r="M379" s="16" t="s">
        <v>1975</v>
      </c>
      <c r="N379" s="16" t="s">
        <v>1976</v>
      </c>
    </row>
    <row r="380" spans="1:14" ht="20.100000000000001" customHeight="1" x14ac:dyDescent="0.25">
      <c r="A380" s="15" t="s">
        <v>1977</v>
      </c>
      <c r="B380" s="16" t="s">
        <v>185</v>
      </c>
      <c r="C380" s="15">
        <v>8401104</v>
      </c>
      <c r="D380" s="16" t="s">
        <v>241</v>
      </c>
      <c r="E380" s="15" t="s">
        <v>1978</v>
      </c>
      <c r="F380" s="21" t="str">
        <f>HYPERLINK("https://psearch.kitsapgov.com/webappa/index.html?parcelID=1924091&amp;Theme=Imagery","1924091")</f>
        <v>1924091</v>
      </c>
      <c r="G380" s="16" t="s">
        <v>508</v>
      </c>
      <c r="H380" s="17">
        <v>44473</v>
      </c>
      <c r="I380" s="18">
        <v>659366</v>
      </c>
      <c r="J380" s="19">
        <v>0.08</v>
      </c>
      <c r="K380" s="16" t="s">
        <v>82</v>
      </c>
      <c r="L380" s="16" t="s">
        <v>1501</v>
      </c>
      <c r="M380" s="16" t="s">
        <v>1979</v>
      </c>
      <c r="N380" s="16" t="s">
        <v>1980</v>
      </c>
    </row>
    <row r="381" spans="1:14" ht="20.100000000000001" customHeight="1" x14ac:dyDescent="0.25">
      <c r="A381" s="15" t="s">
        <v>1981</v>
      </c>
      <c r="B381" s="16" t="s">
        <v>1244</v>
      </c>
      <c r="C381" s="15">
        <v>8402307</v>
      </c>
      <c r="D381" s="16" t="s">
        <v>131</v>
      </c>
      <c r="E381" s="15" t="s">
        <v>1982</v>
      </c>
      <c r="F381" s="21" t="str">
        <f>HYPERLINK("https://psearch.kitsapgov.com/webappa/index.html?parcelID=1162288&amp;Theme=Imagery","1162288")</f>
        <v>1162288</v>
      </c>
      <c r="G381" s="16" t="s">
        <v>1983</v>
      </c>
      <c r="H381" s="17">
        <v>44475</v>
      </c>
      <c r="I381" s="18">
        <v>550000</v>
      </c>
      <c r="J381" s="19">
        <v>0.25</v>
      </c>
      <c r="K381" s="16" t="s">
        <v>515</v>
      </c>
      <c r="L381" s="16" t="s">
        <v>38</v>
      </c>
      <c r="M381" s="16" t="s">
        <v>1984</v>
      </c>
      <c r="N381" s="16" t="s">
        <v>1985</v>
      </c>
    </row>
    <row r="382" spans="1:14" ht="20.100000000000001" customHeight="1" x14ac:dyDescent="0.25">
      <c r="A382" s="15" t="s">
        <v>1986</v>
      </c>
      <c r="B382" s="16" t="s">
        <v>24</v>
      </c>
      <c r="C382" s="15">
        <v>8100505</v>
      </c>
      <c r="D382" s="16" t="s">
        <v>670</v>
      </c>
      <c r="E382" s="15" t="s">
        <v>1987</v>
      </c>
      <c r="F382" s="21" t="str">
        <f>HYPERLINK("https://psearch.kitsapgov.com/webappa/index.html?parcelID=2494391&amp;Theme=Imagery","2494391")</f>
        <v>2494391</v>
      </c>
      <c r="G382" s="16" t="s">
        <v>1988</v>
      </c>
      <c r="H382" s="17">
        <v>44470</v>
      </c>
      <c r="I382" s="18">
        <v>2533000</v>
      </c>
      <c r="J382" s="19">
        <v>1.1499999999999999</v>
      </c>
      <c r="K382" s="16" t="s">
        <v>673</v>
      </c>
      <c r="L382" s="16" t="s">
        <v>20</v>
      </c>
      <c r="M382" s="16" t="s">
        <v>1989</v>
      </c>
      <c r="N382" s="16" t="s">
        <v>1990</v>
      </c>
    </row>
    <row r="383" spans="1:14" ht="20.100000000000001" customHeight="1" x14ac:dyDescent="0.25">
      <c r="A383" s="15" t="s">
        <v>1991</v>
      </c>
      <c r="B383" s="16" t="s">
        <v>42</v>
      </c>
      <c r="C383" s="15">
        <v>8100505</v>
      </c>
      <c r="D383" s="16" t="s">
        <v>670</v>
      </c>
      <c r="E383" s="15" t="s">
        <v>1992</v>
      </c>
      <c r="F383" s="21" t="str">
        <f>HYPERLINK("https://psearch.kitsapgov.com/webappa/index.html?parcelID=2110229&amp;Theme=Imagery","2110229")</f>
        <v>2110229</v>
      </c>
      <c r="G383" s="16" t="s">
        <v>1993</v>
      </c>
      <c r="H383" s="17">
        <v>44476</v>
      </c>
      <c r="I383" s="18">
        <v>1500000</v>
      </c>
      <c r="J383" s="19">
        <v>0.74</v>
      </c>
      <c r="K383" s="16" t="s">
        <v>673</v>
      </c>
      <c r="L383" s="16" t="s">
        <v>20</v>
      </c>
      <c r="M383" s="16" t="s">
        <v>1994</v>
      </c>
      <c r="N383" s="16" t="s">
        <v>1995</v>
      </c>
    </row>
    <row r="384" spans="1:14" ht="20.100000000000001" customHeight="1" x14ac:dyDescent="0.25">
      <c r="A384" s="15" t="s">
        <v>1996</v>
      </c>
      <c r="B384" s="16" t="s">
        <v>159</v>
      </c>
      <c r="C384" s="15">
        <v>8402307</v>
      </c>
      <c r="D384" s="16" t="s">
        <v>131</v>
      </c>
      <c r="E384" s="15" t="s">
        <v>1997</v>
      </c>
      <c r="F384" s="21" t="str">
        <f>HYPERLINK("https://psearch.kitsapgov.com/webappa/index.html?parcelID=2430932&amp;Theme=Imagery","2430932")</f>
        <v>2430932</v>
      </c>
      <c r="G384" s="16" t="s">
        <v>1998</v>
      </c>
      <c r="H384" s="17">
        <v>44487</v>
      </c>
      <c r="I384" s="18">
        <v>1550000</v>
      </c>
      <c r="J384" s="19">
        <v>0.22</v>
      </c>
      <c r="K384" s="16" t="s">
        <v>368</v>
      </c>
      <c r="L384" s="16" t="s">
        <v>20</v>
      </c>
      <c r="M384" s="16" t="s">
        <v>1999</v>
      </c>
      <c r="N384" s="16" t="s">
        <v>2000</v>
      </c>
    </row>
    <row r="385" spans="1:14" ht="20.100000000000001" customHeight="1" x14ac:dyDescent="0.25">
      <c r="A385" s="15" t="s">
        <v>2001</v>
      </c>
      <c r="B385" s="16" t="s">
        <v>381</v>
      </c>
      <c r="C385" s="15">
        <v>9400207</v>
      </c>
      <c r="D385" s="16" t="s">
        <v>2002</v>
      </c>
      <c r="E385" s="15" t="s">
        <v>2003</v>
      </c>
      <c r="F385" s="21" t="str">
        <f>HYPERLINK("https://psearch.kitsapgov.com/webappa/index.html?parcelID=1373026&amp;Theme=Imagery","1373026")</f>
        <v>1373026</v>
      </c>
      <c r="G385" s="16" t="s">
        <v>2004</v>
      </c>
      <c r="H385" s="17">
        <v>44488</v>
      </c>
      <c r="I385" s="18">
        <v>650000</v>
      </c>
      <c r="J385" s="19">
        <v>4.55</v>
      </c>
      <c r="K385" s="16" t="s">
        <v>205</v>
      </c>
      <c r="L385" s="16" t="s">
        <v>20</v>
      </c>
      <c r="M385" s="16" t="s">
        <v>2005</v>
      </c>
      <c r="N385" s="16" t="s">
        <v>2006</v>
      </c>
    </row>
    <row r="386" spans="1:14" ht="20.100000000000001" customHeight="1" x14ac:dyDescent="0.25">
      <c r="A386" s="15" t="s">
        <v>2007</v>
      </c>
      <c r="B386" s="16" t="s">
        <v>78</v>
      </c>
      <c r="C386" s="15">
        <v>8100502</v>
      </c>
      <c r="D386" s="16" t="s">
        <v>142</v>
      </c>
      <c r="E386" s="15" t="s">
        <v>2008</v>
      </c>
      <c r="F386" s="21" t="str">
        <f>HYPERLINK("https://psearch.kitsapgov.com/webappa/index.html?parcelID=1442359&amp;Theme=Imagery","1442359")</f>
        <v>1442359</v>
      </c>
      <c r="G386" s="16" t="s">
        <v>2009</v>
      </c>
      <c r="H386" s="17">
        <v>44484</v>
      </c>
      <c r="I386" s="18">
        <v>115000</v>
      </c>
      <c r="J386" s="19">
        <v>0.45</v>
      </c>
      <c r="K386" s="16" t="s">
        <v>145</v>
      </c>
      <c r="L386" s="16" t="s">
        <v>38</v>
      </c>
      <c r="M386" s="16" t="s">
        <v>599</v>
      </c>
      <c r="N386" s="16" t="s">
        <v>600</v>
      </c>
    </row>
    <row r="387" spans="1:14" ht="20.100000000000001" customHeight="1" x14ac:dyDescent="0.25">
      <c r="A387" s="15" t="s">
        <v>2010</v>
      </c>
      <c r="B387" s="16" t="s">
        <v>78</v>
      </c>
      <c r="C387" s="15">
        <v>8100502</v>
      </c>
      <c r="D387" s="16" t="s">
        <v>142</v>
      </c>
      <c r="E387" s="15" t="s">
        <v>2011</v>
      </c>
      <c r="F387" s="21" t="str">
        <f>HYPERLINK("https://psearch.kitsapgov.com/webappa/index.html?parcelID=1442342&amp;Theme=Imagery","1442342")</f>
        <v>1442342</v>
      </c>
      <c r="G387" s="16" t="s">
        <v>2009</v>
      </c>
      <c r="H387" s="17">
        <v>44487</v>
      </c>
      <c r="I387" s="18">
        <v>90000</v>
      </c>
      <c r="J387" s="19">
        <v>0.45</v>
      </c>
      <c r="K387" s="16" t="s">
        <v>145</v>
      </c>
      <c r="L387" s="16" t="s">
        <v>38</v>
      </c>
      <c r="M387" s="16" t="s">
        <v>599</v>
      </c>
      <c r="N387" s="16" t="s">
        <v>600</v>
      </c>
    </row>
    <row r="388" spans="1:14" ht="20.100000000000001" customHeight="1" x14ac:dyDescent="0.25">
      <c r="A388" s="15" t="s">
        <v>2012</v>
      </c>
      <c r="B388" s="16" t="s">
        <v>105</v>
      </c>
      <c r="C388" s="15">
        <v>8402307</v>
      </c>
      <c r="D388" s="16" t="s">
        <v>131</v>
      </c>
      <c r="E388" s="15" t="s">
        <v>2013</v>
      </c>
      <c r="F388" s="21" t="str">
        <f>HYPERLINK("https://psearch.kitsapgov.com/webappa/index.html?parcelID=1172329&amp;Theme=Imagery","1172329")</f>
        <v>1172329</v>
      </c>
      <c r="G388" s="16" t="s">
        <v>2014</v>
      </c>
      <c r="H388" s="17">
        <v>44495</v>
      </c>
      <c r="I388" s="18">
        <v>250000</v>
      </c>
      <c r="J388" s="19">
        <v>0.49</v>
      </c>
      <c r="K388" s="16" t="s">
        <v>368</v>
      </c>
      <c r="L388" s="16" t="s">
        <v>20</v>
      </c>
      <c r="M388" s="16" t="s">
        <v>2015</v>
      </c>
      <c r="N388" s="16" t="s">
        <v>2016</v>
      </c>
    </row>
    <row r="389" spans="1:14" ht="20.100000000000001" customHeight="1" x14ac:dyDescent="0.25">
      <c r="A389" s="15" t="s">
        <v>2017</v>
      </c>
      <c r="B389" s="16" t="s">
        <v>185</v>
      </c>
      <c r="C389" s="15">
        <v>9100541</v>
      </c>
      <c r="D389" s="16" t="s">
        <v>186</v>
      </c>
      <c r="E389" s="15" t="s">
        <v>2018</v>
      </c>
      <c r="F389" s="21" t="str">
        <f>HYPERLINK("https://psearch.kitsapgov.com/webappa/index.html?parcelID=1464247&amp;Theme=Imagery","1464247")</f>
        <v>1464247</v>
      </c>
      <c r="G389" s="16" t="s">
        <v>2019</v>
      </c>
      <c r="H389" s="17">
        <v>44495</v>
      </c>
      <c r="I389" s="18">
        <v>730000</v>
      </c>
      <c r="J389" s="19">
        <v>0.14000000000000001</v>
      </c>
      <c r="K389" s="16" t="s">
        <v>377</v>
      </c>
      <c r="L389" s="16" t="s">
        <v>20</v>
      </c>
      <c r="M389" s="16" t="s">
        <v>2020</v>
      </c>
      <c r="N389" s="16" t="s">
        <v>2021</v>
      </c>
    </row>
    <row r="390" spans="1:14" ht="20.100000000000001" customHeight="1" x14ac:dyDescent="0.25">
      <c r="A390" s="15" t="s">
        <v>2022</v>
      </c>
      <c r="B390" s="16" t="s">
        <v>222</v>
      </c>
      <c r="C390" s="15">
        <v>9402407</v>
      </c>
      <c r="D390" s="16" t="s">
        <v>223</v>
      </c>
      <c r="E390" s="15" t="s">
        <v>224</v>
      </c>
      <c r="F390" s="21" t="str">
        <f>HYPERLINK("https://psearch.kitsapgov.com/webappa/index.html?parcelID=2155950&amp;Theme=Imagery","2155950")</f>
        <v>2155950</v>
      </c>
      <c r="G390" s="16" t="s">
        <v>225</v>
      </c>
      <c r="H390" s="17">
        <v>44498</v>
      </c>
      <c r="I390" s="18">
        <v>425000</v>
      </c>
      <c r="J390" s="19">
        <v>0.26</v>
      </c>
      <c r="K390" s="16" t="s">
        <v>37</v>
      </c>
      <c r="L390" s="16" t="s">
        <v>20</v>
      </c>
      <c r="M390" s="16" t="s">
        <v>2023</v>
      </c>
      <c r="N390" s="16" t="s">
        <v>2024</v>
      </c>
    </row>
    <row r="391" spans="1:14" ht="20.100000000000001" customHeight="1" x14ac:dyDescent="0.25">
      <c r="A391" s="15" t="s">
        <v>2025</v>
      </c>
      <c r="B391" s="16" t="s">
        <v>98</v>
      </c>
      <c r="C391" s="15">
        <v>8400206</v>
      </c>
      <c r="D391" s="16" t="s">
        <v>99</v>
      </c>
      <c r="E391" s="15" t="s">
        <v>665</v>
      </c>
      <c r="F391" s="21" t="str">
        <f>HYPERLINK("https://psearch.kitsapgov.com/webappa/index.html?parcelID=2071421&amp;Theme=Imagery","2071421")</f>
        <v>2071421</v>
      </c>
      <c r="G391" s="16" t="s">
        <v>666</v>
      </c>
      <c r="H391" s="17">
        <v>44497</v>
      </c>
      <c r="I391" s="18">
        <v>33000</v>
      </c>
      <c r="J391" s="19">
        <v>0</v>
      </c>
      <c r="L391" s="16" t="s">
        <v>20</v>
      </c>
      <c r="M391" s="16" t="s">
        <v>668</v>
      </c>
      <c r="N391" s="16" t="s">
        <v>2026</v>
      </c>
    </row>
    <row r="392" spans="1:14" ht="20.100000000000001" customHeight="1" x14ac:dyDescent="0.25">
      <c r="A392" s="15" t="s">
        <v>2027</v>
      </c>
      <c r="B392" s="16" t="s">
        <v>159</v>
      </c>
      <c r="C392" s="15">
        <v>8303601</v>
      </c>
      <c r="D392" s="16" t="s">
        <v>25</v>
      </c>
      <c r="E392" s="15" t="s">
        <v>2028</v>
      </c>
      <c r="F392" s="21" t="str">
        <f>HYPERLINK("https://psearch.kitsapgov.com/webappa/index.html?parcelID=1306273&amp;Theme=Imagery","1306273")</f>
        <v>1306273</v>
      </c>
      <c r="G392" s="16" t="s">
        <v>2029</v>
      </c>
      <c r="H392" s="17">
        <v>44503</v>
      </c>
      <c r="I392" s="18">
        <v>960000</v>
      </c>
      <c r="J392" s="19">
        <v>0.12</v>
      </c>
      <c r="K392" s="16" t="s">
        <v>421</v>
      </c>
      <c r="L392" s="16" t="s">
        <v>38</v>
      </c>
      <c r="M392" s="16" t="s">
        <v>2030</v>
      </c>
      <c r="N392" s="16" t="s">
        <v>2031</v>
      </c>
    </row>
    <row r="393" spans="1:14" ht="20.100000000000001" customHeight="1" x14ac:dyDescent="0.25">
      <c r="A393" s="15" t="s">
        <v>2032</v>
      </c>
      <c r="B393" s="16" t="s">
        <v>24</v>
      </c>
      <c r="C393" s="15">
        <v>8401101</v>
      </c>
      <c r="D393" s="16" t="s">
        <v>305</v>
      </c>
      <c r="E393" s="15" t="s">
        <v>2033</v>
      </c>
      <c r="F393" s="21" t="str">
        <f>HYPERLINK("https://psearch.kitsapgov.com/webappa/index.html?parcelID=2042505&amp;Theme=Imagery","2042505")</f>
        <v>2042505</v>
      </c>
      <c r="G393" s="16" t="s">
        <v>2034</v>
      </c>
      <c r="H393" s="17">
        <v>44503</v>
      </c>
      <c r="I393" s="18">
        <v>1250000</v>
      </c>
      <c r="J393" s="19">
        <v>0.67</v>
      </c>
      <c r="K393" s="16" t="s">
        <v>308</v>
      </c>
      <c r="L393" s="16" t="s">
        <v>20</v>
      </c>
      <c r="M393" s="16" t="s">
        <v>2035</v>
      </c>
      <c r="N393" s="16" t="s">
        <v>2036</v>
      </c>
    </row>
    <row r="394" spans="1:14" ht="20.100000000000001" customHeight="1" x14ac:dyDescent="0.25">
      <c r="A394" s="15" t="s">
        <v>2037</v>
      </c>
      <c r="B394" s="16" t="s">
        <v>70</v>
      </c>
      <c r="C394" s="15">
        <v>8402405</v>
      </c>
      <c r="D394" s="16" t="s">
        <v>71</v>
      </c>
      <c r="E394" s="15" t="s">
        <v>2038</v>
      </c>
      <c r="F394" s="21" t="str">
        <f>HYPERLINK("https://psearch.kitsapgov.com/webappa/index.html?parcelID=1170851&amp;Theme=Imagery","1170851")</f>
        <v>1170851</v>
      </c>
      <c r="G394" s="16" t="s">
        <v>2039</v>
      </c>
      <c r="H394" s="17">
        <v>44508</v>
      </c>
      <c r="I394" s="18">
        <v>1000</v>
      </c>
      <c r="J394" s="19">
        <v>6.22</v>
      </c>
      <c r="K394" s="16" t="s">
        <v>2040</v>
      </c>
      <c r="L394" s="16" t="s">
        <v>631</v>
      </c>
      <c r="M394" s="16" t="s">
        <v>2041</v>
      </c>
      <c r="N394" s="16" t="s">
        <v>2042</v>
      </c>
    </row>
    <row r="395" spans="1:14" ht="20.100000000000001" customHeight="1" x14ac:dyDescent="0.25">
      <c r="A395" s="15" t="s">
        <v>2043</v>
      </c>
      <c r="B395" s="16" t="s">
        <v>62</v>
      </c>
      <c r="C395" s="15">
        <v>9402405</v>
      </c>
      <c r="D395" s="16" t="s">
        <v>818</v>
      </c>
      <c r="E395" s="15" t="s">
        <v>819</v>
      </c>
      <c r="F395" s="21" t="str">
        <f>HYPERLINK("https://psearch.kitsapgov.com/webappa/index.html?parcelID=2243707&amp;Theme=Imagery","2243707")</f>
        <v>2243707</v>
      </c>
      <c r="G395" s="16" t="s">
        <v>820</v>
      </c>
      <c r="H395" s="17">
        <v>44508</v>
      </c>
      <c r="I395" s="18">
        <v>208000</v>
      </c>
      <c r="J395" s="19">
        <v>0.2</v>
      </c>
      <c r="K395" s="16" t="s">
        <v>205</v>
      </c>
      <c r="L395" s="16" t="s">
        <v>1501</v>
      </c>
      <c r="M395" s="16" t="s">
        <v>2044</v>
      </c>
      <c r="N395" s="16" t="s">
        <v>2045</v>
      </c>
    </row>
    <row r="396" spans="1:14" ht="20.100000000000001" customHeight="1" x14ac:dyDescent="0.25">
      <c r="A396" s="15" t="s">
        <v>2046</v>
      </c>
      <c r="B396" s="16" t="s">
        <v>153</v>
      </c>
      <c r="C396" s="15">
        <v>8400301</v>
      </c>
      <c r="D396" s="16" t="s">
        <v>1850</v>
      </c>
      <c r="E396" s="15" t="s">
        <v>2047</v>
      </c>
      <c r="F396" s="21" t="str">
        <f>HYPERLINK("https://psearch.kitsapgov.com/webappa/index.html?parcelID=2452993&amp;Theme=Imagery","2452993")</f>
        <v>2452993</v>
      </c>
      <c r="G396" s="16" t="s">
        <v>2048</v>
      </c>
      <c r="H396" s="17">
        <v>44512</v>
      </c>
      <c r="I396" s="18">
        <v>1250000</v>
      </c>
      <c r="J396" s="19">
        <v>0.69</v>
      </c>
      <c r="K396" s="16" t="s">
        <v>37</v>
      </c>
      <c r="L396" s="16" t="s">
        <v>38</v>
      </c>
      <c r="M396" s="16" t="s">
        <v>2049</v>
      </c>
      <c r="N396" s="16" t="s">
        <v>1855</v>
      </c>
    </row>
    <row r="397" spans="1:14" ht="20.100000000000001" customHeight="1" x14ac:dyDescent="0.25">
      <c r="A397" s="15" t="s">
        <v>2050</v>
      </c>
      <c r="B397" s="16" t="s">
        <v>105</v>
      </c>
      <c r="C397" s="15">
        <v>8100506</v>
      </c>
      <c r="D397" s="16" t="s">
        <v>286</v>
      </c>
      <c r="E397" s="15" t="s">
        <v>2051</v>
      </c>
      <c r="F397" s="21" t="str">
        <f>HYPERLINK("https://psearch.kitsapgov.com/webappa/index.html?parcelID=2640795&amp;Theme=Imagery","2640795")</f>
        <v>2640795</v>
      </c>
      <c r="G397" s="16" t="s">
        <v>2052</v>
      </c>
      <c r="H397" s="17">
        <v>44509</v>
      </c>
      <c r="I397" s="18">
        <v>675000</v>
      </c>
      <c r="J397" s="19">
        <v>0.74</v>
      </c>
      <c r="K397" s="16" t="s">
        <v>109</v>
      </c>
      <c r="L397" s="16" t="s">
        <v>38</v>
      </c>
      <c r="M397" s="16" t="s">
        <v>2053</v>
      </c>
      <c r="N397" s="16" t="s">
        <v>2054</v>
      </c>
    </row>
    <row r="398" spans="1:14" ht="20.100000000000001" customHeight="1" x14ac:dyDescent="0.25">
      <c r="A398" s="15" t="s">
        <v>2055</v>
      </c>
      <c r="B398" s="16" t="s">
        <v>1244</v>
      </c>
      <c r="C398" s="15">
        <v>8100502</v>
      </c>
      <c r="D398" s="16" t="s">
        <v>142</v>
      </c>
      <c r="E398" s="15" t="s">
        <v>2056</v>
      </c>
      <c r="F398" s="21" t="str">
        <f>HYPERLINK("https://psearch.kitsapgov.com/webappa/index.html?parcelID=1144385&amp;Theme=Imagery","1144385")</f>
        <v>1144385</v>
      </c>
      <c r="G398" s="16" t="s">
        <v>2057</v>
      </c>
      <c r="H398" s="17">
        <v>44505</v>
      </c>
      <c r="I398" s="18">
        <v>250000</v>
      </c>
      <c r="J398" s="19">
        <v>0.2</v>
      </c>
      <c r="K398" s="16" t="s">
        <v>980</v>
      </c>
      <c r="L398" s="16" t="s">
        <v>38</v>
      </c>
      <c r="M398" s="16" t="s">
        <v>2058</v>
      </c>
      <c r="N398" s="16" t="s">
        <v>2059</v>
      </c>
    </row>
    <row r="399" spans="1:14" ht="20.100000000000001" customHeight="1" x14ac:dyDescent="0.25">
      <c r="A399" s="15" t="s">
        <v>2060</v>
      </c>
      <c r="B399" s="16" t="s">
        <v>159</v>
      </c>
      <c r="C399" s="15">
        <v>8100501</v>
      </c>
      <c r="D399" s="16" t="s">
        <v>63</v>
      </c>
      <c r="E399" s="15" t="s">
        <v>2061</v>
      </c>
      <c r="F399" s="21" t="str">
        <f>HYPERLINK("https://psearch.kitsapgov.com/webappa/index.html?parcelID=1426949&amp;Theme=Imagery","1426949")</f>
        <v>1426949</v>
      </c>
      <c r="G399" s="16" t="s">
        <v>2062</v>
      </c>
      <c r="H399" s="17">
        <v>44508</v>
      </c>
      <c r="I399" s="18">
        <v>399000</v>
      </c>
      <c r="J399" s="19">
        <v>7.0000000000000007E-2</v>
      </c>
      <c r="K399" s="16" t="s">
        <v>93</v>
      </c>
      <c r="L399" s="16" t="s">
        <v>20</v>
      </c>
      <c r="M399" s="16" t="s">
        <v>2063</v>
      </c>
      <c r="N399" s="16" t="s">
        <v>2064</v>
      </c>
    </row>
    <row r="400" spans="1:14" ht="20.100000000000001" customHeight="1" x14ac:dyDescent="0.25">
      <c r="A400" s="15" t="s">
        <v>2065</v>
      </c>
      <c r="B400" s="16" t="s">
        <v>285</v>
      </c>
      <c r="C400" s="15">
        <v>8100502</v>
      </c>
      <c r="D400" s="16" t="s">
        <v>142</v>
      </c>
      <c r="E400" s="15" t="s">
        <v>2066</v>
      </c>
      <c r="F400" s="21" t="str">
        <f>HYPERLINK("https://psearch.kitsapgov.com/webappa/index.html?parcelID=2317824&amp;Theme=Imagery","2317824")</f>
        <v>2317824</v>
      </c>
      <c r="G400" s="16" t="s">
        <v>2067</v>
      </c>
      <c r="H400" s="17">
        <v>44508</v>
      </c>
      <c r="I400" s="18">
        <v>655000</v>
      </c>
      <c r="J400" s="19">
        <v>0.34</v>
      </c>
      <c r="K400" s="16" t="s">
        <v>980</v>
      </c>
      <c r="L400" s="16" t="s">
        <v>20</v>
      </c>
      <c r="M400" s="16" t="s">
        <v>2068</v>
      </c>
      <c r="N400" s="16" t="s">
        <v>2069</v>
      </c>
    </row>
    <row r="401" spans="1:14" ht="20.100000000000001" customHeight="1" x14ac:dyDescent="0.25">
      <c r="A401" s="15" t="s">
        <v>2070</v>
      </c>
      <c r="B401" s="16" t="s">
        <v>560</v>
      </c>
      <c r="C401" s="15">
        <v>8402405</v>
      </c>
      <c r="D401" s="16" t="s">
        <v>71</v>
      </c>
      <c r="E401" s="15" t="s">
        <v>2071</v>
      </c>
      <c r="F401" s="21" t="str">
        <f>HYPERLINK("https://psearch.kitsapgov.com/webappa/index.html?parcelID=2297620&amp;Theme=Imagery","2297620")</f>
        <v>2297620</v>
      </c>
      <c r="G401" s="16" t="s">
        <v>2072</v>
      </c>
      <c r="H401" s="17">
        <v>44510</v>
      </c>
      <c r="I401" s="18">
        <v>65000</v>
      </c>
      <c r="J401" s="19">
        <v>0</v>
      </c>
      <c r="L401" s="16" t="s">
        <v>944</v>
      </c>
      <c r="M401" s="16" t="s">
        <v>2073</v>
      </c>
      <c r="N401" s="16" t="s">
        <v>2074</v>
      </c>
    </row>
    <row r="402" spans="1:14" ht="20.100000000000001" customHeight="1" x14ac:dyDescent="0.25">
      <c r="A402" s="15" t="s">
        <v>2075</v>
      </c>
      <c r="B402" s="16" t="s">
        <v>159</v>
      </c>
      <c r="C402" s="15">
        <v>8401101</v>
      </c>
      <c r="D402" s="16" t="s">
        <v>305</v>
      </c>
      <c r="E402" s="15" t="s">
        <v>2076</v>
      </c>
      <c r="F402" s="21" t="str">
        <f>HYPERLINK("https://psearch.kitsapgov.com/webappa/index.html?parcelID=2046043&amp;Theme=Imagery","2046043")</f>
        <v>2046043</v>
      </c>
      <c r="G402" s="16" t="s">
        <v>2077</v>
      </c>
      <c r="H402" s="17">
        <v>44517</v>
      </c>
      <c r="I402" s="18">
        <v>7455700</v>
      </c>
      <c r="J402" s="19">
        <v>3.63</v>
      </c>
      <c r="K402" s="16" t="s">
        <v>308</v>
      </c>
      <c r="L402" s="16" t="s">
        <v>2078</v>
      </c>
      <c r="M402" s="16" t="s">
        <v>2079</v>
      </c>
      <c r="N402" s="16" t="s">
        <v>2080</v>
      </c>
    </row>
    <row r="403" spans="1:14" ht="20.100000000000001" customHeight="1" x14ac:dyDescent="0.25">
      <c r="A403" s="15" t="s">
        <v>2081</v>
      </c>
      <c r="B403" s="16" t="s">
        <v>105</v>
      </c>
      <c r="C403" s="15">
        <v>8402307</v>
      </c>
      <c r="D403" s="16" t="s">
        <v>131</v>
      </c>
      <c r="E403" s="15" t="s">
        <v>2082</v>
      </c>
      <c r="F403" s="21" t="str">
        <f>HYPERLINK("https://psearch.kitsapgov.com/webappa/index.html?parcelID=1730209&amp;Theme=Imagery","1730209")</f>
        <v>1730209</v>
      </c>
      <c r="G403" s="16" t="s">
        <v>2083</v>
      </c>
      <c r="H403" s="17">
        <v>44517</v>
      </c>
      <c r="I403" s="18">
        <v>123500</v>
      </c>
      <c r="J403" s="19">
        <v>0.72</v>
      </c>
      <c r="K403" s="16" t="s">
        <v>515</v>
      </c>
      <c r="L403" s="16" t="s">
        <v>20</v>
      </c>
      <c r="M403" s="16" t="s">
        <v>2084</v>
      </c>
      <c r="N403" s="16" t="s">
        <v>2085</v>
      </c>
    </row>
    <row r="404" spans="1:14" ht="20.100000000000001" customHeight="1" x14ac:dyDescent="0.25">
      <c r="A404" s="15" t="s">
        <v>2086</v>
      </c>
      <c r="B404" s="16" t="s">
        <v>317</v>
      </c>
      <c r="C404" s="15">
        <v>9402390</v>
      </c>
      <c r="D404" s="16" t="s">
        <v>173</v>
      </c>
      <c r="E404" s="15" t="s">
        <v>1262</v>
      </c>
      <c r="F404" s="21" t="str">
        <f>HYPERLINK("https://psearch.kitsapgov.com/webappa/index.html?parcelID=1719343&amp;Theme=Imagery","1719343")</f>
        <v>1719343</v>
      </c>
      <c r="G404" s="16" t="s">
        <v>1263</v>
      </c>
      <c r="H404" s="17">
        <v>44510</v>
      </c>
      <c r="I404" s="18">
        <v>289000</v>
      </c>
      <c r="J404" s="19">
        <v>0.25</v>
      </c>
      <c r="K404" s="16" t="s">
        <v>176</v>
      </c>
      <c r="L404" s="16" t="s">
        <v>53</v>
      </c>
      <c r="M404" s="16" t="s">
        <v>2087</v>
      </c>
      <c r="N404" s="16" t="s">
        <v>2088</v>
      </c>
    </row>
    <row r="405" spans="1:14" ht="20.100000000000001" customHeight="1" x14ac:dyDescent="0.25">
      <c r="A405" s="15" t="s">
        <v>2089</v>
      </c>
      <c r="B405" s="16" t="s">
        <v>98</v>
      </c>
      <c r="C405" s="15">
        <v>8303660</v>
      </c>
      <c r="D405" s="16" t="s">
        <v>252</v>
      </c>
      <c r="E405" s="15" t="s">
        <v>2090</v>
      </c>
      <c r="F405" s="21" t="str">
        <f>HYPERLINK("https://psearch.kitsapgov.com/webappa/index.html?parcelID=1883297&amp;Theme=Imagery","1883297")</f>
        <v>1883297</v>
      </c>
      <c r="G405" s="16" t="s">
        <v>2091</v>
      </c>
      <c r="H405" s="17">
        <v>44508</v>
      </c>
      <c r="I405" s="18">
        <v>205000</v>
      </c>
      <c r="J405" s="19">
        <v>0</v>
      </c>
      <c r="L405" s="16" t="s">
        <v>944</v>
      </c>
      <c r="M405" s="16" t="s">
        <v>2092</v>
      </c>
      <c r="N405" s="16" t="s">
        <v>2093</v>
      </c>
    </row>
    <row r="406" spans="1:14" ht="20.100000000000001" customHeight="1" x14ac:dyDescent="0.25">
      <c r="A406" s="15" t="s">
        <v>2094</v>
      </c>
      <c r="B406" s="16" t="s">
        <v>105</v>
      </c>
      <c r="C406" s="15">
        <v>8402307</v>
      </c>
      <c r="D406" s="16" t="s">
        <v>131</v>
      </c>
      <c r="E406" s="15" t="s">
        <v>2095</v>
      </c>
      <c r="F406" s="21" t="str">
        <f>HYPERLINK("https://psearch.kitsapgov.com/webappa/index.html?parcelID=1730175&amp;Theme=Imagery","1730175")</f>
        <v>1730175</v>
      </c>
      <c r="G406" s="16" t="s">
        <v>2096</v>
      </c>
      <c r="H406" s="17">
        <v>44518</v>
      </c>
      <c r="I406" s="18">
        <v>400000</v>
      </c>
      <c r="J406" s="19">
        <v>0.92</v>
      </c>
      <c r="K406" s="16" t="s">
        <v>515</v>
      </c>
      <c r="L406" s="16" t="s">
        <v>20</v>
      </c>
      <c r="M406" s="16" t="s">
        <v>2097</v>
      </c>
      <c r="N406" s="16" t="s">
        <v>2098</v>
      </c>
    </row>
    <row r="407" spans="1:14" ht="20.100000000000001" customHeight="1" x14ac:dyDescent="0.25">
      <c r="A407" s="15" t="s">
        <v>2099</v>
      </c>
      <c r="B407" s="16" t="s">
        <v>2100</v>
      </c>
      <c r="C407" s="15">
        <v>9400202</v>
      </c>
      <c r="D407" s="16" t="s">
        <v>2101</v>
      </c>
      <c r="E407" s="15" t="s">
        <v>2102</v>
      </c>
      <c r="F407" s="21" t="str">
        <f>HYPERLINK("https://psearch.kitsapgov.com/webappa/index.html?parcelID=1323294&amp;Theme=Imagery","1323294")</f>
        <v>1323294</v>
      </c>
      <c r="G407" s="16" t="s">
        <v>2103</v>
      </c>
      <c r="H407" s="17">
        <v>44519</v>
      </c>
      <c r="I407" s="18">
        <v>360000</v>
      </c>
      <c r="J407" s="19">
        <v>10.06</v>
      </c>
      <c r="K407" s="16" t="s">
        <v>205</v>
      </c>
      <c r="L407" s="16" t="s">
        <v>38</v>
      </c>
      <c r="M407" s="16" t="s">
        <v>2104</v>
      </c>
      <c r="N407" s="16" t="s">
        <v>2105</v>
      </c>
    </row>
    <row r="408" spans="1:14" ht="20.100000000000001" customHeight="1" x14ac:dyDescent="0.25">
      <c r="A408" s="15" t="s">
        <v>2106</v>
      </c>
      <c r="B408" s="16" t="s">
        <v>159</v>
      </c>
      <c r="C408" s="15">
        <v>8401508</v>
      </c>
      <c r="D408" s="16" t="s">
        <v>1341</v>
      </c>
      <c r="E408" s="15" t="s">
        <v>2107</v>
      </c>
      <c r="F408" s="21" t="str">
        <f>HYPERLINK("https://psearch.kitsapgov.com/webappa/index.html?parcelID=2452217&amp;Theme=Imagery","2452217")</f>
        <v>2452217</v>
      </c>
      <c r="G408" s="16" t="s">
        <v>2108</v>
      </c>
      <c r="H408" s="17">
        <v>44515</v>
      </c>
      <c r="I408" s="18">
        <v>1500000</v>
      </c>
      <c r="J408" s="19">
        <v>0.6</v>
      </c>
      <c r="K408" s="16" t="s">
        <v>37</v>
      </c>
      <c r="L408" s="16" t="s">
        <v>20</v>
      </c>
      <c r="M408" s="16" t="s">
        <v>2109</v>
      </c>
      <c r="N408" s="16" t="s">
        <v>2110</v>
      </c>
    </row>
    <row r="409" spans="1:14" ht="20.100000000000001" customHeight="1" x14ac:dyDescent="0.25">
      <c r="A409" s="15" t="s">
        <v>2111</v>
      </c>
      <c r="B409" s="16" t="s">
        <v>185</v>
      </c>
      <c r="C409" s="15">
        <v>9402395</v>
      </c>
      <c r="D409" s="16" t="s">
        <v>1216</v>
      </c>
      <c r="E409" s="15" t="s">
        <v>2112</v>
      </c>
      <c r="F409" s="21" t="str">
        <f>HYPERLINK("https://psearch.kitsapgov.com/webappa/index.html?parcelID=1161868&amp;Theme=Imagery","1161868")</f>
        <v>1161868</v>
      </c>
      <c r="G409" s="16" t="s">
        <v>2113</v>
      </c>
      <c r="H409" s="17">
        <v>44518</v>
      </c>
      <c r="I409" s="18">
        <v>600000</v>
      </c>
      <c r="J409" s="19">
        <v>0.22</v>
      </c>
      <c r="K409" s="16" t="s">
        <v>874</v>
      </c>
      <c r="L409" s="16" t="s">
        <v>20</v>
      </c>
      <c r="M409" s="16" t="s">
        <v>2114</v>
      </c>
      <c r="N409" s="16" t="s">
        <v>2115</v>
      </c>
    </row>
    <row r="410" spans="1:14" ht="20.100000000000001" customHeight="1" x14ac:dyDescent="0.25">
      <c r="A410" s="15" t="s">
        <v>2116</v>
      </c>
      <c r="B410" s="16" t="s">
        <v>98</v>
      </c>
      <c r="C410" s="15">
        <v>8400206</v>
      </c>
      <c r="D410" s="16" t="s">
        <v>99</v>
      </c>
      <c r="E410" s="15" t="s">
        <v>2117</v>
      </c>
      <c r="F410" s="21" t="str">
        <f>HYPERLINK("https://psearch.kitsapgov.com/webappa/index.html?parcelID=2261014&amp;Theme=Imagery","2261014")</f>
        <v>2261014</v>
      </c>
      <c r="G410" s="16" t="s">
        <v>2118</v>
      </c>
      <c r="H410" s="17">
        <v>44515</v>
      </c>
      <c r="I410" s="18">
        <v>125000</v>
      </c>
      <c r="J410" s="19">
        <v>0</v>
      </c>
      <c r="L410" s="16" t="s">
        <v>20</v>
      </c>
      <c r="M410" s="16" t="s">
        <v>2119</v>
      </c>
      <c r="N410" s="16" t="s">
        <v>2120</v>
      </c>
    </row>
    <row r="411" spans="1:14" ht="20.100000000000001" customHeight="1" x14ac:dyDescent="0.25">
      <c r="A411" s="15" t="s">
        <v>2121</v>
      </c>
      <c r="B411" s="16" t="s">
        <v>70</v>
      </c>
      <c r="C411" s="15">
        <v>8400203</v>
      </c>
      <c r="D411" s="16" t="s">
        <v>353</v>
      </c>
      <c r="E411" s="15" t="s">
        <v>2122</v>
      </c>
      <c r="F411" s="21" t="str">
        <f>HYPERLINK("https://psearch.kitsapgov.com/webappa/index.html?parcelID=1336338&amp;Theme=Imagery","1336338")</f>
        <v>1336338</v>
      </c>
      <c r="G411" s="16" t="s">
        <v>2123</v>
      </c>
      <c r="H411" s="17">
        <v>44516</v>
      </c>
      <c r="I411" s="18">
        <v>767574</v>
      </c>
      <c r="J411" s="19">
        <v>0.53</v>
      </c>
      <c r="K411" s="16" t="s">
        <v>356</v>
      </c>
      <c r="L411" s="16" t="s">
        <v>2124</v>
      </c>
      <c r="M411" s="16" t="s">
        <v>2125</v>
      </c>
      <c r="N411" s="16" t="s">
        <v>2126</v>
      </c>
    </row>
    <row r="412" spans="1:14" ht="20.100000000000001" customHeight="1" x14ac:dyDescent="0.25">
      <c r="A412" s="15" t="s">
        <v>2127</v>
      </c>
      <c r="B412" s="16" t="s">
        <v>159</v>
      </c>
      <c r="C412" s="15">
        <v>8400203</v>
      </c>
      <c r="D412" s="16" t="s">
        <v>353</v>
      </c>
      <c r="E412" s="15" t="s">
        <v>2128</v>
      </c>
      <c r="F412" s="21" t="str">
        <f>HYPERLINK("https://psearch.kitsapgov.com/webappa/index.html?parcelID=1334432&amp;Theme=Imagery","1334432")</f>
        <v>1334432</v>
      </c>
      <c r="G412" s="16" t="s">
        <v>2129</v>
      </c>
      <c r="H412" s="17">
        <v>44522</v>
      </c>
      <c r="I412" s="18">
        <v>775000</v>
      </c>
      <c r="J412" s="19">
        <v>1.25</v>
      </c>
      <c r="K412" s="16" t="s">
        <v>356</v>
      </c>
      <c r="L412" s="16" t="s">
        <v>38</v>
      </c>
      <c r="M412" s="16" t="s">
        <v>2130</v>
      </c>
      <c r="N412" s="16" t="s">
        <v>2131</v>
      </c>
    </row>
    <row r="413" spans="1:14" ht="20.100000000000001" customHeight="1" x14ac:dyDescent="0.25">
      <c r="A413" s="15" t="s">
        <v>2132</v>
      </c>
      <c r="B413" s="16" t="s">
        <v>834</v>
      </c>
      <c r="C413" s="15">
        <v>8401508</v>
      </c>
      <c r="D413" s="16" t="s">
        <v>1341</v>
      </c>
      <c r="E413" s="15" t="s">
        <v>2133</v>
      </c>
      <c r="F413" s="21" t="str">
        <f>HYPERLINK("https://psearch.kitsapgov.com/webappa/index.html?parcelID=2607554&amp;Theme=Imagery","2607554")</f>
        <v>2607554</v>
      </c>
      <c r="G413" s="16" t="s">
        <v>2134</v>
      </c>
      <c r="H413" s="17">
        <v>44530</v>
      </c>
      <c r="I413" s="18">
        <v>150000</v>
      </c>
      <c r="J413" s="19">
        <v>0.38</v>
      </c>
      <c r="K413" s="16" t="s">
        <v>37</v>
      </c>
      <c r="L413" s="16" t="s">
        <v>94</v>
      </c>
      <c r="M413" s="16" t="s">
        <v>2036</v>
      </c>
      <c r="N413" s="16" t="s">
        <v>2135</v>
      </c>
    </row>
    <row r="414" spans="1:14" ht="20.100000000000001" customHeight="1" x14ac:dyDescent="0.25">
      <c r="A414" s="15" t="s">
        <v>2136</v>
      </c>
      <c r="B414" s="16" t="s">
        <v>78</v>
      </c>
      <c r="C414" s="15">
        <v>8100502</v>
      </c>
      <c r="D414" s="16" t="s">
        <v>142</v>
      </c>
      <c r="E414" s="15" t="s">
        <v>2137</v>
      </c>
      <c r="F414" s="21" t="str">
        <f>HYPERLINK("https://psearch.kitsapgov.com/webappa/index.html?parcelID=1126515&amp;Theme=Imagery","1126515")</f>
        <v>1126515</v>
      </c>
      <c r="G414" s="16" t="s">
        <v>2138</v>
      </c>
      <c r="H414" s="17">
        <v>44523</v>
      </c>
      <c r="I414" s="18">
        <v>225000</v>
      </c>
      <c r="J414" s="19">
        <v>0.32</v>
      </c>
      <c r="K414" s="16" t="s">
        <v>168</v>
      </c>
      <c r="L414" s="16" t="s">
        <v>213</v>
      </c>
      <c r="M414" s="16" t="s">
        <v>2139</v>
      </c>
      <c r="N414" s="16" t="s">
        <v>2140</v>
      </c>
    </row>
    <row r="415" spans="1:14" ht="20.100000000000001" customHeight="1" x14ac:dyDescent="0.25">
      <c r="A415" s="15" t="s">
        <v>2141</v>
      </c>
      <c r="B415" s="16" t="s">
        <v>222</v>
      </c>
      <c r="C415" s="15">
        <v>8402307</v>
      </c>
      <c r="D415" s="16" t="s">
        <v>131</v>
      </c>
      <c r="E415" s="15" t="s">
        <v>2142</v>
      </c>
      <c r="F415" s="21" t="str">
        <f>HYPERLINK("https://psearch.kitsapgov.com/webappa/index.html?parcelID=2360691&amp;Theme=Imagery","2360691")</f>
        <v>2360691</v>
      </c>
      <c r="G415" s="16" t="s">
        <v>2143</v>
      </c>
      <c r="H415" s="17">
        <v>44529</v>
      </c>
      <c r="I415" s="18">
        <v>1400000</v>
      </c>
      <c r="J415" s="19">
        <v>1.03</v>
      </c>
      <c r="K415" s="16" t="s">
        <v>515</v>
      </c>
      <c r="L415" s="16" t="s">
        <v>20</v>
      </c>
      <c r="M415" s="16" t="s">
        <v>2144</v>
      </c>
      <c r="N415" s="16" t="s">
        <v>2145</v>
      </c>
    </row>
    <row r="416" spans="1:14" ht="20.100000000000001" customHeight="1" x14ac:dyDescent="0.25">
      <c r="A416" s="15" t="s">
        <v>2146</v>
      </c>
      <c r="B416" s="16" t="s">
        <v>909</v>
      </c>
      <c r="C416" s="15">
        <v>9400203</v>
      </c>
      <c r="D416" s="16" t="s">
        <v>49</v>
      </c>
      <c r="E416" s="15" t="s">
        <v>2147</v>
      </c>
      <c r="F416" s="21" t="str">
        <f>HYPERLINK("https://psearch.kitsapgov.com/webappa/index.html?parcelID=2458487&amp;Theme=Imagery","2458487")</f>
        <v>2458487</v>
      </c>
      <c r="G416" s="16" t="s">
        <v>2148</v>
      </c>
      <c r="H416" s="17">
        <v>44529</v>
      </c>
      <c r="I416" s="18">
        <v>6000000</v>
      </c>
      <c r="J416" s="19">
        <v>12.84</v>
      </c>
      <c r="K416" s="16" t="s">
        <v>115</v>
      </c>
      <c r="L416" s="16" t="s">
        <v>20</v>
      </c>
      <c r="M416" s="16" t="s">
        <v>2149</v>
      </c>
      <c r="N416" s="16" t="s">
        <v>2150</v>
      </c>
    </row>
    <row r="417" spans="1:14" ht="20.100000000000001" customHeight="1" x14ac:dyDescent="0.25">
      <c r="A417" s="15" t="s">
        <v>2151</v>
      </c>
      <c r="B417" s="16" t="s">
        <v>209</v>
      </c>
      <c r="C417" s="15">
        <v>8100501</v>
      </c>
      <c r="D417" s="16" t="s">
        <v>63</v>
      </c>
      <c r="E417" s="15" t="s">
        <v>2152</v>
      </c>
      <c r="F417" s="21" t="str">
        <f>HYPERLINK("https://psearch.kitsapgov.com/webappa/index.html?parcelID=1427327&amp;Theme=Imagery","1427327")</f>
        <v>1427327</v>
      </c>
      <c r="G417" s="16" t="s">
        <v>2153</v>
      </c>
      <c r="H417" s="17">
        <v>44533</v>
      </c>
      <c r="I417" s="18">
        <v>1800000</v>
      </c>
      <c r="J417" s="19">
        <v>0.28999999999999998</v>
      </c>
      <c r="K417" s="16" t="s">
        <v>93</v>
      </c>
      <c r="L417" s="16" t="s">
        <v>38</v>
      </c>
      <c r="M417" s="16" t="s">
        <v>2154</v>
      </c>
      <c r="N417" s="16" t="s">
        <v>2155</v>
      </c>
    </row>
    <row r="418" spans="1:14" ht="20.100000000000001" customHeight="1" x14ac:dyDescent="0.25">
      <c r="A418" s="15" t="s">
        <v>2156</v>
      </c>
      <c r="B418" s="16" t="s">
        <v>229</v>
      </c>
      <c r="C418" s="15">
        <v>8100505</v>
      </c>
      <c r="D418" s="16" t="s">
        <v>670</v>
      </c>
      <c r="E418" s="15" t="s">
        <v>2157</v>
      </c>
      <c r="F418" s="21" t="str">
        <f>HYPERLINK("https://psearch.kitsapgov.com/webappa/index.html?parcelID=1490747&amp;Theme=Imagery","1490747")</f>
        <v>1490747</v>
      </c>
      <c r="G418" s="16" t="s">
        <v>2158</v>
      </c>
      <c r="H418" s="17">
        <v>44531</v>
      </c>
      <c r="I418" s="18">
        <v>950000</v>
      </c>
      <c r="J418" s="19">
        <v>0.41</v>
      </c>
      <c r="K418" s="16" t="s">
        <v>673</v>
      </c>
      <c r="L418" s="16" t="s">
        <v>38</v>
      </c>
      <c r="M418" s="16" t="s">
        <v>2159</v>
      </c>
      <c r="N418" s="16" t="s">
        <v>2160</v>
      </c>
    </row>
    <row r="419" spans="1:14" ht="20.100000000000001" customHeight="1" x14ac:dyDescent="0.25">
      <c r="A419" s="15" t="s">
        <v>2161</v>
      </c>
      <c r="B419" s="16" t="s">
        <v>285</v>
      </c>
      <c r="C419" s="15">
        <v>8400207</v>
      </c>
      <c r="D419" s="16" t="s">
        <v>298</v>
      </c>
      <c r="E419" s="15" t="s">
        <v>2162</v>
      </c>
      <c r="F419" s="21" t="str">
        <f>HYPERLINK("https://psearch.kitsapgov.com/webappa/index.html?parcelID=2455244&amp;Theme=Imagery","2455244")</f>
        <v>2455244</v>
      </c>
      <c r="G419" s="16" t="s">
        <v>2163</v>
      </c>
      <c r="H419" s="17">
        <v>44538</v>
      </c>
      <c r="I419" s="18">
        <v>875000</v>
      </c>
      <c r="J419" s="19">
        <v>1.55</v>
      </c>
      <c r="K419" s="16" t="s">
        <v>301</v>
      </c>
      <c r="L419" s="16" t="s">
        <v>53</v>
      </c>
      <c r="M419" s="16" t="s">
        <v>961</v>
      </c>
      <c r="N419" s="16" t="s">
        <v>2164</v>
      </c>
    </row>
    <row r="420" spans="1:14" ht="20.100000000000001" customHeight="1" x14ac:dyDescent="0.25">
      <c r="A420" s="15" t="s">
        <v>2165</v>
      </c>
      <c r="B420" s="16" t="s">
        <v>24</v>
      </c>
      <c r="C420" s="15">
        <v>8400202</v>
      </c>
      <c r="D420" s="16" t="s">
        <v>440</v>
      </c>
      <c r="E420" s="15" t="s">
        <v>2166</v>
      </c>
      <c r="F420" s="21" t="str">
        <f>HYPERLINK("https://psearch.kitsapgov.com/webappa/index.html?parcelID=2662088&amp;Theme=Imagery","2662088")</f>
        <v>2662088</v>
      </c>
      <c r="G420" s="16" t="s">
        <v>2167</v>
      </c>
      <c r="H420" s="17">
        <v>44536</v>
      </c>
      <c r="I420" s="18">
        <v>815000</v>
      </c>
      <c r="J420" s="19">
        <v>0.44</v>
      </c>
      <c r="K420" s="16" t="s">
        <v>443</v>
      </c>
      <c r="L420" s="16" t="s">
        <v>38</v>
      </c>
      <c r="M420" s="16" t="s">
        <v>2168</v>
      </c>
      <c r="N420" s="16" t="s">
        <v>2169</v>
      </c>
    </row>
    <row r="421" spans="1:14" ht="20.100000000000001" customHeight="1" x14ac:dyDescent="0.25">
      <c r="A421" s="15" t="s">
        <v>2170</v>
      </c>
      <c r="B421" s="16" t="s">
        <v>24</v>
      </c>
      <c r="C421" s="15">
        <v>8100501</v>
      </c>
      <c r="D421" s="16" t="s">
        <v>63</v>
      </c>
      <c r="E421" s="15" t="s">
        <v>2171</v>
      </c>
      <c r="F421" s="21" t="str">
        <f>HYPERLINK("https://psearch.kitsapgov.com/webappa/index.html?parcelID=1427699&amp;Theme=Imagery","1427699")</f>
        <v>1427699</v>
      </c>
      <c r="G421" s="16" t="s">
        <v>2172</v>
      </c>
      <c r="H421" s="17">
        <v>44538</v>
      </c>
      <c r="I421" s="18">
        <v>625000</v>
      </c>
      <c r="J421" s="19">
        <v>0.19</v>
      </c>
      <c r="K421" s="16" t="s">
        <v>93</v>
      </c>
      <c r="L421" s="16" t="s">
        <v>20</v>
      </c>
      <c r="M421" s="16" t="s">
        <v>2173</v>
      </c>
      <c r="N421" s="16" t="s">
        <v>2174</v>
      </c>
    </row>
    <row r="422" spans="1:14" ht="20.100000000000001" customHeight="1" x14ac:dyDescent="0.25">
      <c r="A422" s="15" t="s">
        <v>2175</v>
      </c>
      <c r="B422" s="16" t="s">
        <v>42</v>
      </c>
      <c r="C422" s="15">
        <v>8303601</v>
      </c>
      <c r="D422" s="16" t="s">
        <v>25</v>
      </c>
      <c r="E422" s="15" t="s">
        <v>2176</v>
      </c>
      <c r="F422" s="21" t="str">
        <f>HYPERLINK("https://psearch.kitsapgov.com/webappa/index.html?parcelID=1307842&amp;Theme=Imagery","1307842")</f>
        <v>1307842</v>
      </c>
      <c r="G422" s="16" t="s">
        <v>2177</v>
      </c>
      <c r="H422" s="17">
        <v>44539</v>
      </c>
      <c r="I422" s="18">
        <v>1525000</v>
      </c>
      <c r="J422" s="19">
        <v>0.59</v>
      </c>
      <c r="K422" s="16" t="s">
        <v>2178</v>
      </c>
      <c r="L422" s="16" t="s">
        <v>20</v>
      </c>
      <c r="M422" s="16" t="s">
        <v>2179</v>
      </c>
      <c r="N422" s="16" t="s">
        <v>2180</v>
      </c>
    </row>
    <row r="423" spans="1:14" ht="20.100000000000001" customHeight="1" x14ac:dyDescent="0.25">
      <c r="A423" s="15" t="s">
        <v>2181</v>
      </c>
      <c r="B423" s="16" t="s">
        <v>98</v>
      </c>
      <c r="C423" s="15">
        <v>8400206</v>
      </c>
      <c r="D423" s="16" t="s">
        <v>99</v>
      </c>
      <c r="E423" s="15" t="s">
        <v>2182</v>
      </c>
      <c r="F423" s="21" t="str">
        <f>HYPERLINK("https://psearch.kitsapgov.com/webappa/index.html?parcelID=2071470&amp;Theme=Imagery","2071470")</f>
        <v>2071470</v>
      </c>
      <c r="G423" s="16" t="s">
        <v>337</v>
      </c>
      <c r="H423" s="17">
        <v>44538</v>
      </c>
      <c r="I423" s="18">
        <v>48000</v>
      </c>
      <c r="J423" s="19">
        <v>0</v>
      </c>
      <c r="L423" s="16" t="s">
        <v>20</v>
      </c>
      <c r="M423" s="16" t="s">
        <v>2183</v>
      </c>
      <c r="N423" s="16" t="s">
        <v>2184</v>
      </c>
    </row>
    <row r="424" spans="1:14" ht="20.100000000000001" customHeight="1" x14ac:dyDescent="0.25">
      <c r="A424" s="15" t="s">
        <v>2185</v>
      </c>
      <c r="B424" s="16" t="s">
        <v>70</v>
      </c>
      <c r="C424" s="15">
        <v>8100502</v>
      </c>
      <c r="D424" s="16" t="s">
        <v>142</v>
      </c>
      <c r="E424" s="15" t="s">
        <v>2186</v>
      </c>
      <c r="F424" s="21" t="str">
        <f>HYPERLINK("https://psearch.kitsapgov.com/webappa/index.html?parcelID=1152321&amp;Theme=Imagery","1152321")</f>
        <v>1152321</v>
      </c>
      <c r="G424" s="16" t="s">
        <v>2187</v>
      </c>
      <c r="H424" s="17">
        <v>44540</v>
      </c>
      <c r="I424" s="18">
        <v>1950000</v>
      </c>
      <c r="J424" s="19">
        <v>0.86</v>
      </c>
      <c r="K424" s="16" t="s">
        <v>145</v>
      </c>
      <c r="L424" s="16" t="s">
        <v>20</v>
      </c>
      <c r="M424" s="16" t="s">
        <v>2188</v>
      </c>
      <c r="N424" s="16" t="s">
        <v>2189</v>
      </c>
    </row>
    <row r="425" spans="1:14" ht="20.100000000000001" customHeight="1" x14ac:dyDescent="0.25">
      <c r="A425" s="15" t="s">
        <v>2190</v>
      </c>
      <c r="B425" s="16" t="s">
        <v>159</v>
      </c>
      <c r="C425" s="15">
        <v>8400201</v>
      </c>
      <c r="D425" s="16" t="s">
        <v>496</v>
      </c>
      <c r="E425" s="15" t="s">
        <v>2191</v>
      </c>
      <c r="F425" s="21" t="str">
        <f>HYPERLINK("https://psearch.kitsapgov.com/webappa/index.html?parcelID=1550904&amp;Theme=Imagery","1550904")</f>
        <v>1550904</v>
      </c>
      <c r="G425" s="16" t="s">
        <v>2192</v>
      </c>
      <c r="H425" s="17">
        <v>44543</v>
      </c>
      <c r="I425" s="18">
        <v>232224</v>
      </c>
      <c r="J425" s="19">
        <v>0.04</v>
      </c>
      <c r="K425" s="16" t="s">
        <v>499</v>
      </c>
      <c r="L425" s="16" t="s">
        <v>1501</v>
      </c>
      <c r="M425" s="16" t="s">
        <v>2193</v>
      </c>
      <c r="N425" s="16" t="s">
        <v>2194</v>
      </c>
    </row>
    <row r="426" spans="1:14" ht="20.100000000000001" customHeight="1" x14ac:dyDescent="0.25">
      <c r="A426" s="15" t="s">
        <v>2195</v>
      </c>
      <c r="B426" s="16" t="s">
        <v>909</v>
      </c>
      <c r="C426" s="15">
        <v>8100502</v>
      </c>
      <c r="D426" s="16" t="s">
        <v>142</v>
      </c>
      <c r="E426" s="15" t="s">
        <v>2196</v>
      </c>
      <c r="F426" s="21" t="str">
        <f>HYPERLINK("https://psearch.kitsapgov.com/webappa/index.html?parcelID=2541563&amp;Theme=Imagery","2541563")</f>
        <v>2541563</v>
      </c>
      <c r="G426" s="16" t="s">
        <v>2197</v>
      </c>
      <c r="H426" s="17">
        <v>44545</v>
      </c>
      <c r="I426" s="18">
        <v>7200000</v>
      </c>
      <c r="J426" s="19">
        <v>6.51</v>
      </c>
      <c r="K426" s="16" t="s">
        <v>168</v>
      </c>
      <c r="L426" s="16" t="s">
        <v>20</v>
      </c>
      <c r="M426" s="16" t="s">
        <v>2198</v>
      </c>
      <c r="N426" s="16" t="s">
        <v>2199</v>
      </c>
    </row>
    <row r="427" spans="1:14" ht="20.100000000000001" customHeight="1" x14ac:dyDescent="0.25">
      <c r="A427" s="15" t="s">
        <v>2200</v>
      </c>
      <c r="B427" s="16" t="s">
        <v>1759</v>
      </c>
      <c r="C427" s="15">
        <v>8401102</v>
      </c>
      <c r="D427" s="16" t="s">
        <v>17</v>
      </c>
      <c r="E427" s="15" t="s">
        <v>2201</v>
      </c>
      <c r="F427" s="21" t="str">
        <f>HYPERLINK("https://psearch.kitsapgov.com/webappa/index.html?parcelID=1886704&amp;Theme=Imagery","1886704")</f>
        <v>1886704</v>
      </c>
      <c r="G427" s="16" t="s">
        <v>2202</v>
      </c>
      <c r="H427" s="17">
        <v>44540</v>
      </c>
      <c r="I427" s="18">
        <v>275000</v>
      </c>
      <c r="J427" s="19">
        <v>0</v>
      </c>
      <c r="K427" s="16" t="s">
        <v>308</v>
      </c>
      <c r="L427" s="16" t="s">
        <v>20</v>
      </c>
      <c r="M427" s="16" t="s">
        <v>2203</v>
      </c>
      <c r="N427" s="16" t="s">
        <v>2204</v>
      </c>
    </row>
    <row r="428" spans="1:14" ht="20.100000000000001" customHeight="1" x14ac:dyDescent="0.25">
      <c r="A428" s="15" t="s">
        <v>2205</v>
      </c>
      <c r="B428" s="16" t="s">
        <v>16</v>
      </c>
      <c r="C428" s="15">
        <v>8303601</v>
      </c>
      <c r="D428" s="16" t="s">
        <v>25</v>
      </c>
      <c r="E428" s="15" t="s">
        <v>1227</v>
      </c>
      <c r="F428" s="21" t="str">
        <f>HYPERLINK("https://psearch.kitsapgov.com/webappa/index.html?parcelID=2639995&amp;Theme=Imagery","2639995")</f>
        <v>2639995</v>
      </c>
      <c r="G428" s="16" t="s">
        <v>1228</v>
      </c>
      <c r="H428" s="17">
        <v>44546</v>
      </c>
      <c r="I428" s="18">
        <v>349000</v>
      </c>
      <c r="J428" s="19">
        <v>0</v>
      </c>
      <c r="L428" s="16" t="s">
        <v>20</v>
      </c>
      <c r="M428" s="16" t="s">
        <v>2206</v>
      </c>
      <c r="N428" s="16" t="s">
        <v>2207</v>
      </c>
    </row>
    <row r="429" spans="1:14" ht="20.100000000000001" customHeight="1" x14ac:dyDescent="0.25">
      <c r="A429" s="15" t="s">
        <v>2208</v>
      </c>
      <c r="B429" s="16" t="s">
        <v>70</v>
      </c>
      <c r="C429" s="15">
        <v>8401104</v>
      </c>
      <c r="D429" s="16" t="s">
        <v>241</v>
      </c>
      <c r="E429" s="15" t="s">
        <v>2209</v>
      </c>
      <c r="F429" s="21" t="str">
        <f>HYPERLINK("https://psearch.kitsapgov.com/webappa/index.html?parcelID=2060259&amp;Theme=Imagery","2060259")</f>
        <v>2060259</v>
      </c>
      <c r="G429" s="16" t="s">
        <v>2210</v>
      </c>
      <c r="H429" s="17">
        <v>44546</v>
      </c>
      <c r="I429" s="18">
        <v>1350000</v>
      </c>
      <c r="J429" s="19">
        <v>0.53</v>
      </c>
      <c r="K429" s="16" t="s">
        <v>37</v>
      </c>
      <c r="L429" s="16" t="s">
        <v>20</v>
      </c>
      <c r="M429" s="16" t="s">
        <v>2211</v>
      </c>
      <c r="N429" s="16" t="s">
        <v>2212</v>
      </c>
    </row>
    <row r="430" spans="1:14" ht="20.100000000000001" customHeight="1" x14ac:dyDescent="0.25">
      <c r="A430" s="15" t="s">
        <v>2213</v>
      </c>
      <c r="B430" s="16" t="s">
        <v>48</v>
      </c>
      <c r="C430" s="15">
        <v>9100541</v>
      </c>
      <c r="D430" s="16" t="s">
        <v>186</v>
      </c>
      <c r="E430" s="15" t="s">
        <v>2214</v>
      </c>
      <c r="F430" s="21" t="str">
        <f>HYPERLINK("https://psearch.kitsapgov.com/webappa/index.html?parcelID=2619054&amp;Theme=Imagery","2619054")</f>
        <v>2619054</v>
      </c>
      <c r="G430" s="16" t="s">
        <v>2215</v>
      </c>
      <c r="H430" s="17">
        <v>44552</v>
      </c>
      <c r="I430" s="18">
        <v>92000000</v>
      </c>
      <c r="J430" s="19">
        <v>8.26</v>
      </c>
      <c r="K430" s="16" t="s">
        <v>377</v>
      </c>
      <c r="L430" s="16" t="s">
        <v>20</v>
      </c>
      <c r="M430" s="16" t="s">
        <v>2216</v>
      </c>
      <c r="N430" s="16" t="s">
        <v>2217</v>
      </c>
    </row>
    <row r="431" spans="1:14" ht="20.100000000000001" customHeight="1" x14ac:dyDescent="0.25">
      <c r="A431" s="15" t="s">
        <v>2218</v>
      </c>
      <c r="B431" s="16" t="s">
        <v>185</v>
      </c>
      <c r="C431" s="15">
        <v>9100543</v>
      </c>
      <c r="D431" s="16" t="s">
        <v>1628</v>
      </c>
      <c r="E431" s="15" t="s">
        <v>2219</v>
      </c>
      <c r="F431" s="21" t="str">
        <f>HYPERLINK("https://psearch.kitsapgov.com/webappa/index.html?parcelID=1492537&amp;Theme=Imagery","1492537")</f>
        <v>1492537</v>
      </c>
      <c r="G431" s="16" t="s">
        <v>2220</v>
      </c>
      <c r="H431" s="17">
        <v>44545</v>
      </c>
      <c r="I431" s="18">
        <v>298258</v>
      </c>
      <c r="J431" s="19">
        <v>0.23</v>
      </c>
      <c r="K431" s="16" t="s">
        <v>814</v>
      </c>
      <c r="L431" s="16" t="s">
        <v>94</v>
      </c>
      <c r="M431" s="16" t="s">
        <v>2221</v>
      </c>
      <c r="N431" s="16" t="s">
        <v>2222</v>
      </c>
    </row>
    <row r="432" spans="1:14" ht="20.100000000000001" customHeight="1" x14ac:dyDescent="0.25">
      <c r="A432" s="15" t="s">
        <v>2223</v>
      </c>
      <c r="B432" s="16" t="s">
        <v>834</v>
      </c>
      <c r="C432" s="15">
        <v>8303601</v>
      </c>
      <c r="D432" s="16" t="s">
        <v>25</v>
      </c>
      <c r="E432" s="15" t="s">
        <v>2224</v>
      </c>
      <c r="F432" s="21" t="str">
        <f>HYPERLINK("https://psearch.kitsapgov.com/webappa/index.html?parcelID=2530103&amp;Theme=Imagery","2530103")</f>
        <v>2530103</v>
      </c>
      <c r="G432" s="16" t="s">
        <v>2225</v>
      </c>
      <c r="H432" s="17">
        <v>44545</v>
      </c>
      <c r="I432" s="18">
        <v>2400000</v>
      </c>
      <c r="J432" s="19">
        <v>0.96</v>
      </c>
      <c r="K432" s="16" t="s">
        <v>28</v>
      </c>
      <c r="L432" s="16" t="s">
        <v>20</v>
      </c>
      <c r="M432" s="16" t="s">
        <v>2226</v>
      </c>
      <c r="N432" s="16" t="s">
        <v>2227</v>
      </c>
    </row>
    <row r="433" spans="1:14" ht="20.100000000000001" customHeight="1" x14ac:dyDescent="0.25">
      <c r="A433" s="15" t="s">
        <v>2228</v>
      </c>
      <c r="B433" s="16" t="s">
        <v>24</v>
      </c>
      <c r="C433" s="15">
        <v>8402307</v>
      </c>
      <c r="D433" s="16" t="s">
        <v>131</v>
      </c>
      <c r="E433" s="15" t="s">
        <v>2229</v>
      </c>
      <c r="F433" s="21" t="str">
        <f>HYPERLINK("https://psearch.kitsapgov.com/webappa/index.html?parcelID=1930247&amp;Theme=Imagery","1930247")</f>
        <v>1930247</v>
      </c>
      <c r="G433" s="16" t="s">
        <v>2230</v>
      </c>
      <c r="H433" s="17">
        <v>44550</v>
      </c>
      <c r="I433" s="18">
        <v>800000</v>
      </c>
      <c r="J433" s="19">
        <v>0.5</v>
      </c>
      <c r="K433" s="16" t="s">
        <v>37</v>
      </c>
      <c r="L433" s="16" t="s">
        <v>20</v>
      </c>
      <c r="M433" s="16" t="s">
        <v>2231</v>
      </c>
      <c r="N433" s="16" t="s">
        <v>2232</v>
      </c>
    </row>
    <row r="434" spans="1:14" ht="20.100000000000001" customHeight="1" x14ac:dyDescent="0.25">
      <c r="A434" s="15" t="s">
        <v>2233</v>
      </c>
      <c r="B434" s="16" t="s">
        <v>533</v>
      </c>
      <c r="C434" s="15">
        <v>9100541</v>
      </c>
      <c r="D434" s="16" t="s">
        <v>186</v>
      </c>
      <c r="E434" s="15" t="s">
        <v>2234</v>
      </c>
      <c r="F434" s="21" t="str">
        <f>HYPERLINK("https://psearch.kitsapgov.com/webappa/index.html?parcelID=1459072&amp;Theme=Imagery","1459072")</f>
        <v>1459072</v>
      </c>
      <c r="G434" s="16" t="s">
        <v>2235</v>
      </c>
      <c r="H434" s="17">
        <v>44552</v>
      </c>
      <c r="I434" s="18">
        <v>1312500</v>
      </c>
      <c r="J434" s="19">
        <v>0.28000000000000003</v>
      </c>
      <c r="K434" s="16" t="s">
        <v>377</v>
      </c>
      <c r="L434" s="16" t="s">
        <v>20</v>
      </c>
      <c r="M434" s="16" t="s">
        <v>2236</v>
      </c>
      <c r="N434" s="16" t="s">
        <v>2237</v>
      </c>
    </row>
    <row r="435" spans="1:14" ht="20.100000000000001" customHeight="1" x14ac:dyDescent="0.25">
      <c r="A435" s="15" t="s">
        <v>2238</v>
      </c>
      <c r="B435" s="16" t="s">
        <v>1948</v>
      </c>
      <c r="C435" s="15">
        <v>8100506</v>
      </c>
      <c r="D435" s="16" t="s">
        <v>286</v>
      </c>
      <c r="E435" s="15" t="s">
        <v>2239</v>
      </c>
      <c r="F435" s="21" t="str">
        <f>HYPERLINK("https://psearch.kitsapgov.com/webappa/index.html?parcelID=1135979&amp;Theme=Imagery","1135979")</f>
        <v>1135979</v>
      </c>
      <c r="G435" s="16" t="s">
        <v>2240</v>
      </c>
      <c r="H435" s="17">
        <v>44552</v>
      </c>
      <c r="I435" s="18">
        <v>1950000</v>
      </c>
      <c r="J435" s="19">
        <v>8.2799999999999994</v>
      </c>
      <c r="K435" s="16" t="s">
        <v>168</v>
      </c>
      <c r="L435" s="16" t="s">
        <v>38</v>
      </c>
      <c r="M435" s="16" t="s">
        <v>2241</v>
      </c>
      <c r="N435" s="16" t="s">
        <v>2242</v>
      </c>
    </row>
    <row r="436" spans="1:14" ht="20.100000000000001" customHeight="1" x14ac:dyDescent="0.25">
      <c r="A436" s="15" t="s">
        <v>2243</v>
      </c>
      <c r="B436" s="16" t="s">
        <v>130</v>
      </c>
      <c r="C436" s="15">
        <v>8100507</v>
      </c>
      <c r="D436" s="16" t="s">
        <v>34</v>
      </c>
      <c r="E436" s="15" t="s">
        <v>2244</v>
      </c>
      <c r="F436" s="21" t="str">
        <f>HYPERLINK("https://psearch.kitsapgov.com/webappa/index.html?parcelID=1743657&amp;Theme=Imagery","1743657")</f>
        <v>1743657</v>
      </c>
      <c r="G436" s="16" t="s">
        <v>2245</v>
      </c>
      <c r="H436" s="17">
        <v>44547</v>
      </c>
      <c r="I436" s="18">
        <v>3000000</v>
      </c>
      <c r="J436" s="19">
        <v>0.3</v>
      </c>
      <c r="K436" s="16" t="s">
        <v>37</v>
      </c>
      <c r="L436" s="16" t="s">
        <v>38</v>
      </c>
      <c r="M436" s="16" t="s">
        <v>2246</v>
      </c>
      <c r="N436" s="16" t="s">
        <v>2247</v>
      </c>
    </row>
    <row r="437" spans="1:14" ht="20.100000000000001" customHeight="1" x14ac:dyDescent="0.25">
      <c r="A437" s="15" t="s">
        <v>2248</v>
      </c>
      <c r="B437" s="16" t="s">
        <v>70</v>
      </c>
      <c r="C437" s="15">
        <v>8303601</v>
      </c>
      <c r="D437" s="16" t="s">
        <v>25</v>
      </c>
      <c r="E437" s="15" t="s">
        <v>2249</v>
      </c>
      <c r="F437" s="21" t="str">
        <f>HYPERLINK("https://psearch.kitsapgov.com/webappa/index.html?parcelID=2005437&amp;Theme=Imagery","2005437")</f>
        <v>2005437</v>
      </c>
      <c r="G437" s="16" t="s">
        <v>2250</v>
      </c>
      <c r="H437" s="17">
        <v>44558</v>
      </c>
      <c r="I437" s="18">
        <v>1500000</v>
      </c>
      <c r="J437" s="19">
        <v>0.51</v>
      </c>
      <c r="K437" s="16" t="s">
        <v>2251</v>
      </c>
      <c r="L437" s="16" t="s">
        <v>38</v>
      </c>
      <c r="M437" s="16" t="s">
        <v>2252</v>
      </c>
      <c r="N437" s="16" t="s">
        <v>2253</v>
      </c>
    </row>
    <row r="438" spans="1:14" ht="20.100000000000001" customHeight="1" x14ac:dyDescent="0.25">
      <c r="A438" s="15" t="s">
        <v>2254</v>
      </c>
      <c r="B438" s="16" t="s">
        <v>159</v>
      </c>
      <c r="C438" s="15">
        <v>8303601</v>
      </c>
      <c r="D438" s="16" t="s">
        <v>25</v>
      </c>
      <c r="E438" s="15" t="s">
        <v>2255</v>
      </c>
      <c r="F438" s="21" t="str">
        <f>HYPERLINK("https://psearch.kitsapgov.com/webappa/index.html?parcelID=2005429&amp;Theme=Imagery","2005429")</f>
        <v>2005429</v>
      </c>
      <c r="G438" s="16" t="s">
        <v>2256</v>
      </c>
      <c r="H438" s="17">
        <v>44558</v>
      </c>
      <c r="I438" s="18">
        <v>1500000</v>
      </c>
      <c r="J438" s="19">
        <v>0.42</v>
      </c>
      <c r="K438" s="16" t="s">
        <v>2251</v>
      </c>
      <c r="L438" s="16" t="s">
        <v>38</v>
      </c>
      <c r="M438" s="16" t="s">
        <v>2252</v>
      </c>
      <c r="N438" s="16" t="s">
        <v>2253</v>
      </c>
    </row>
    <row r="439" spans="1:14" ht="20.100000000000001" customHeight="1" x14ac:dyDescent="0.25">
      <c r="A439" s="15" t="s">
        <v>2257</v>
      </c>
      <c r="B439" s="16" t="s">
        <v>850</v>
      </c>
      <c r="C439" s="15">
        <v>9100541</v>
      </c>
      <c r="D439" s="16" t="s">
        <v>186</v>
      </c>
      <c r="E439" s="15" t="s">
        <v>2258</v>
      </c>
      <c r="F439" s="21" t="str">
        <f>HYPERLINK("https://psearch.kitsapgov.com/webappa/index.html?parcelID=1139377&amp;Theme=Imagery","1139377")</f>
        <v>1139377</v>
      </c>
      <c r="G439" s="16" t="s">
        <v>2259</v>
      </c>
      <c r="H439" s="17">
        <v>44560</v>
      </c>
      <c r="I439" s="18">
        <v>575000</v>
      </c>
      <c r="J439" s="19">
        <v>0.09</v>
      </c>
      <c r="K439" s="16" t="s">
        <v>863</v>
      </c>
      <c r="L439" s="16" t="s">
        <v>38</v>
      </c>
      <c r="M439" s="16" t="s">
        <v>2260</v>
      </c>
      <c r="N439" s="16" t="s">
        <v>2261</v>
      </c>
    </row>
    <row r="440" spans="1:14" ht="20.100000000000001" customHeight="1" x14ac:dyDescent="0.25">
      <c r="A440" s="15" t="s">
        <v>2262</v>
      </c>
      <c r="B440" s="16" t="s">
        <v>78</v>
      </c>
      <c r="C440" s="15">
        <v>8401102</v>
      </c>
      <c r="D440" s="16" t="s">
        <v>17</v>
      </c>
      <c r="E440" s="15" t="s">
        <v>2263</v>
      </c>
      <c r="F440" s="21" t="str">
        <f>HYPERLINK("https://psearch.kitsapgov.com/webappa/index.html?parcelID=1658996&amp;Theme=Imagery","1658996")</f>
        <v>1658996</v>
      </c>
      <c r="G440" s="16" t="s">
        <v>2264</v>
      </c>
      <c r="H440" s="17">
        <v>44545</v>
      </c>
      <c r="I440" s="18">
        <v>390000</v>
      </c>
      <c r="J440" s="19">
        <v>0.17</v>
      </c>
      <c r="K440" s="16" t="s">
        <v>679</v>
      </c>
      <c r="L440" s="16" t="s">
        <v>38</v>
      </c>
      <c r="M440" s="16" t="s">
        <v>2265</v>
      </c>
      <c r="N440" s="16" t="s">
        <v>2266</v>
      </c>
    </row>
    <row r="441" spans="1:14" ht="20.100000000000001" customHeight="1" x14ac:dyDescent="0.25">
      <c r="A441" s="15" t="s">
        <v>2267</v>
      </c>
      <c r="B441" s="16" t="s">
        <v>105</v>
      </c>
      <c r="C441" s="15">
        <v>8401508</v>
      </c>
      <c r="D441" s="16" t="s">
        <v>1341</v>
      </c>
      <c r="E441" s="15" t="s">
        <v>2268</v>
      </c>
      <c r="F441" s="21" t="str">
        <f>HYPERLINK("https://psearch.kitsapgov.com/webappa/index.html?parcelID=2057917&amp;Theme=Imagery","2057917")</f>
        <v>2057917</v>
      </c>
      <c r="G441" s="16" t="s">
        <v>2269</v>
      </c>
      <c r="H441" s="17">
        <v>44553</v>
      </c>
      <c r="I441" s="18">
        <v>325000</v>
      </c>
      <c r="J441" s="19">
        <v>1.17</v>
      </c>
      <c r="K441" s="16" t="s">
        <v>37</v>
      </c>
      <c r="L441" s="16" t="s">
        <v>20</v>
      </c>
      <c r="M441" s="16" t="s">
        <v>2270</v>
      </c>
      <c r="N441" s="16" t="s">
        <v>2271</v>
      </c>
    </row>
    <row r="442" spans="1:14" ht="20.100000000000001" customHeight="1" x14ac:dyDescent="0.25">
      <c r="A442" s="15" t="s">
        <v>2272</v>
      </c>
      <c r="B442" s="16" t="s">
        <v>78</v>
      </c>
      <c r="C442" s="15">
        <v>8400201</v>
      </c>
      <c r="D442" s="16" t="s">
        <v>496</v>
      </c>
      <c r="E442" s="15" t="s">
        <v>2273</v>
      </c>
      <c r="F442" s="21" t="str">
        <f>HYPERLINK("https://psearch.kitsapgov.com/webappa/index.html?parcelID=1975713&amp;Theme=Imagery","1975713")</f>
        <v>1975713</v>
      </c>
      <c r="G442" s="16" t="s">
        <v>2274</v>
      </c>
      <c r="H442" s="17">
        <v>44558</v>
      </c>
      <c r="I442" s="18">
        <v>460000</v>
      </c>
      <c r="J442" s="19">
        <v>0.17</v>
      </c>
      <c r="K442" s="16" t="s">
        <v>499</v>
      </c>
      <c r="L442" s="16" t="s">
        <v>20</v>
      </c>
      <c r="M442" s="16" t="s">
        <v>2275</v>
      </c>
      <c r="N442" s="16" t="s">
        <v>2276</v>
      </c>
    </row>
    <row r="443" spans="1:14" ht="20.100000000000001" customHeight="1" x14ac:dyDescent="0.25">
      <c r="A443" s="15" t="s">
        <v>2277</v>
      </c>
      <c r="B443" s="16" t="s">
        <v>78</v>
      </c>
      <c r="C443" s="15">
        <v>8401101</v>
      </c>
      <c r="D443" s="16" t="s">
        <v>305</v>
      </c>
      <c r="E443" s="15" t="s">
        <v>2278</v>
      </c>
      <c r="F443" s="21" t="str">
        <f>HYPERLINK("https://psearch.kitsapgov.com/webappa/index.html?parcelID=1250018&amp;Theme=Imagery","1250018")</f>
        <v>1250018</v>
      </c>
      <c r="G443" s="16" t="s">
        <v>2279</v>
      </c>
      <c r="H443" s="17">
        <v>44560</v>
      </c>
      <c r="I443" s="18">
        <v>475000</v>
      </c>
      <c r="J443" s="19">
        <v>0.93</v>
      </c>
      <c r="K443" s="16" t="s">
        <v>308</v>
      </c>
      <c r="L443" s="16" t="s">
        <v>20</v>
      </c>
      <c r="M443" s="16" t="s">
        <v>2280</v>
      </c>
      <c r="N443" s="16" t="s">
        <v>2281</v>
      </c>
    </row>
    <row r="444" spans="1:14" ht="20.100000000000001" customHeight="1" x14ac:dyDescent="0.25">
      <c r="A444" s="15" t="s">
        <v>2282</v>
      </c>
      <c r="B444" s="16" t="s">
        <v>1759</v>
      </c>
      <c r="C444" s="15">
        <v>8303601</v>
      </c>
      <c r="D444" s="16" t="s">
        <v>25</v>
      </c>
      <c r="E444" s="15" t="s">
        <v>2283</v>
      </c>
      <c r="F444" s="21" t="str">
        <f>HYPERLINK("https://psearch.kitsapgov.com/webappa/index.html?parcelID=2468130&amp;Theme=Imagery","2468130")</f>
        <v>2468130</v>
      </c>
      <c r="G444" s="16" t="s">
        <v>2284</v>
      </c>
      <c r="H444" s="17">
        <v>44539</v>
      </c>
      <c r="I444" s="18">
        <v>295000</v>
      </c>
      <c r="J444" s="19">
        <v>0</v>
      </c>
      <c r="L444" s="16" t="s">
        <v>94</v>
      </c>
      <c r="M444" s="16" t="s">
        <v>2285</v>
      </c>
      <c r="N444" s="16" t="s">
        <v>2286</v>
      </c>
    </row>
    <row r="445" spans="1:14" ht="20.100000000000001" customHeight="1" x14ac:dyDescent="0.25">
      <c r="A445" s="15" t="s">
        <v>2287</v>
      </c>
      <c r="B445" s="16" t="s">
        <v>159</v>
      </c>
      <c r="C445" s="15">
        <v>8100510</v>
      </c>
      <c r="D445" s="16" t="s">
        <v>106</v>
      </c>
      <c r="E445" s="15" t="s">
        <v>2288</v>
      </c>
      <c r="F445" s="21" t="str">
        <f>HYPERLINK("https://psearch.kitsapgov.com/webappa/index.html?parcelID=1438464&amp;Theme=Imagery","1438464")</f>
        <v>1438464</v>
      </c>
      <c r="G445" s="16" t="s">
        <v>2289</v>
      </c>
      <c r="H445" s="17">
        <v>44568</v>
      </c>
      <c r="I445" s="18">
        <v>300000</v>
      </c>
      <c r="J445" s="19">
        <v>0.14000000000000001</v>
      </c>
      <c r="K445" s="16" t="s">
        <v>109</v>
      </c>
      <c r="L445" s="16" t="s">
        <v>20</v>
      </c>
      <c r="M445" s="16" t="s">
        <v>2290</v>
      </c>
      <c r="N445" s="16" t="s">
        <v>2291</v>
      </c>
    </row>
    <row r="446" spans="1:14" ht="20.100000000000001" customHeight="1" x14ac:dyDescent="0.25">
      <c r="A446" s="15" t="s">
        <v>2292</v>
      </c>
      <c r="B446" s="16" t="s">
        <v>533</v>
      </c>
      <c r="C446" s="15">
        <v>8100502</v>
      </c>
      <c r="D446" s="16" t="s">
        <v>142</v>
      </c>
      <c r="E446" s="15" t="s">
        <v>2293</v>
      </c>
      <c r="F446" s="21" t="str">
        <f>HYPERLINK("https://psearch.kitsapgov.com/webappa/index.html?parcelID=2239416&amp;Theme=Imagery","2239416")</f>
        <v>2239416</v>
      </c>
      <c r="G446" s="16" t="s">
        <v>2294</v>
      </c>
      <c r="H446" s="17">
        <v>44558</v>
      </c>
      <c r="I446" s="18">
        <v>305000</v>
      </c>
      <c r="J446" s="19">
        <v>0.69</v>
      </c>
      <c r="K446" s="16" t="s">
        <v>168</v>
      </c>
      <c r="L446" s="16" t="s">
        <v>213</v>
      </c>
      <c r="M446" s="16" t="s">
        <v>2295</v>
      </c>
      <c r="N446" s="16" t="s">
        <v>2296</v>
      </c>
    </row>
    <row r="447" spans="1:14" ht="20.100000000000001" customHeight="1" x14ac:dyDescent="0.25">
      <c r="A447" s="15" t="s">
        <v>2297</v>
      </c>
      <c r="B447" s="16" t="s">
        <v>229</v>
      </c>
      <c r="C447" s="15">
        <v>8400201</v>
      </c>
      <c r="D447" s="16" t="s">
        <v>496</v>
      </c>
      <c r="E447" s="15" t="s">
        <v>1569</v>
      </c>
      <c r="F447" s="21" t="str">
        <f>HYPERLINK("https://psearch.kitsapgov.com/webappa/index.html?parcelID=2072841&amp;Theme=Imagery","2072841")</f>
        <v>2072841</v>
      </c>
      <c r="G447" s="16" t="s">
        <v>1570</v>
      </c>
      <c r="H447" s="17">
        <v>44579</v>
      </c>
      <c r="I447" s="18">
        <v>1178000</v>
      </c>
      <c r="J447" s="19">
        <v>0.56999999999999995</v>
      </c>
      <c r="K447" s="16" t="s">
        <v>499</v>
      </c>
      <c r="L447" s="16" t="s">
        <v>920</v>
      </c>
      <c r="M447" s="16" t="s">
        <v>1572</v>
      </c>
      <c r="N447" s="16" t="s">
        <v>2298</v>
      </c>
    </row>
    <row r="448" spans="1:14" ht="20.100000000000001" customHeight="1" x14ac:dyDescent="0.25">
      <c r="A448" s="15" t="s">
        <v>2299</v>
      </c>
      <c r="B448" s="16" t="s">
        <v>533</v>
      </c>
      <c r="C448" s="15">
        <v>9100541</v>
      </c>
      <c r="D448" s="16" t="s">
        <v>186</v>
      </c>
      <c r="E448" s="15" t="s">
        <v>2300</v>
      </c>
      <c r="F448" s="21" t="str">
        <f>HYPERLINK("https://psearch.kitsapgov.com/webappa/index.html?parcelID=1436344&amp;Theme=Imagery","1436344")</f>
        <v>1436344</v>
      </c>
      <c r="G448" s="16" t="s">
        <v>2301</v>
      </c>
      <c r="H448" s="17">
        <v>44568</v>
      </c>
      <c r="I448" s="18">
        <v>1625000</v>
      </c>
      <c r="J448" s="19">
        <v>0.16</v>
      </c>
      <c r="K448" s="16" t="s">
        <v>377</v>
      </c>
      <c r="L448" s="16" t="s">
        <v>20</v>
      </c>
      <c r="M448" s="16" t="s">
        <v>2302</v>
      </c>
      <c r="N448" s="16" t="s">
        <v>2303</v>
      </c>
    </row>
    <row r="449" spans="1:14" ht="20.100000000000001" customHeight="1" x14ac:dyDescent="0.25">
      <c r="A449" s="15" t="s">
        <v>2304</v>
      </c>
      <c r="B449" s="16" t="s">
        <v>1244</v>
      </c>
      <c r="C449" s="15">
        <v>8100502</v>
      </c>
      <c r="D449" s="16" t="s">
        <v>142</v>
      </c>
      <c r="E449" s="15" t="s">
        <v>2305</v>
      </c>
      <c r="F449" s="21" t="str">
        <f>HYPERLINK("https://psearch.kitsapgov.com/webappa/index.html?parcelID=1146877&amp;Theme=Imagery","1146877")</f>
        <v>1146877</v>
      </c>
      <c r="G449" s="16" t="s">
        <v>2306</v>
      </c>
      <c r="H449" s="17">
        <v>44567</v>
      </c>
      <c r="I449" s="18">
        <v>360000</v>
      </c>
      <c r="J449" s="19">
        <v>0.36</v>
      </c>
      <c r="K449" s="16" t="s">
        <v>980</v>
      </c>
      <c r="L449" s="16" t="s">
        <v>20</v>
      </c>
      <c r="M449" s="16" t="s">
        <v>2307</v>
      </c>
      <c r="N449" s="16" t="s">
        <v>2308</v>
      </c>
    </row>
    <row r="450" spans="1:14" ht="20.100000000000001" customHeight="1" x14ac:dyDescent="0.25">
      <c r="A450" s="15" t="s">
        <v>2309</v>
      </c>
      <c r="B450" s="16" t="s">
        <v>381</v>
      </c>
      <c r="C450" s="15">
        <v>8402307</v>
      </c>
      <c r="D450" s="16" t="s">
        <v>131</v>
      </c>
      <c r="E450" s="15" t="s">
        <v>2310</v>
      </c>
      <c r="F450" s="21" t="str">
        <f>HYPERLINK("https://psearch.kitsapgov.com/webappa/index.html?parcelID=1730191&amp;Theme=Imagery","1730191")</f>
        <v>1730191</v>
      </c>
      <c r="G450" s="16" t="s">
        <v>2311</v>
      </c>
      <c r="H450" s="17">
        <v>44582</v>
      </c>
      <c r="I450" s="18">
        <v>1250000</v>
      </c>
      <c r="J450" s="19">
        <v>0.89</v>
      </c>
      <c r="K450" s="16" t="s">
        <v>515</v>
      </c>
      <c r="L450" s="16" t="s">
        <v>20</v>
      </c>
      <c r="M450" s="16" t="s">
        <v>2312</v>
      </c>
      <c r="N450" s="16" t="s">
        <v>2313</v>
      </c>
    </row>
    <row r="451" spans="1:14" ht="20.100000000000001" customHeight="1" x14ac:dyDescent="0.25">
      <c r="A451" s="15" t="s">
        <v>2314</v>
      </c>
      <c r="B451" s="16" t="s">
        <v>42</v>
      </c>
      <c r="C451" s="15">
        <v>8100507</v>
      </c>
      <c r="D451" s="16" t="s">
        <v>34</v>
      </c>
      <c r="E451" s="15" t="s">
        <v>2315</v>
      </c>
      <c r="F451" s="21" t="str">
        <f>HYPERLINK("https://psearch.kitsapgov.com/webappa/index.html?parcelID=1135953&amp;Theme=Imagery","1135953")</f>
        <v>1135953</v>
      </c>
      <c r="G451" s="16" t="s">
        <v>2316</v>
      </c>
      <c r="H451" s="17">
        <v>44580</v>
      </c>
      <c r="I451" s="18">
        <v>975000</v>
      </c>
      <c r="J451" s="19">
        <v>0.94</v>
      </c>
      <c r="K451" s="16" t="s">
        <v>37</v>
      </c>
      <c r="L451" s="16" t="s">
        <v>38</v>
      </c>
      <c r="M451" s="16" t="s">
        <v>2317</v>
      </c>
      <c r="N451" s="16" t="s">
        <v>2318</v>
      </c>
    </row>
    <row r="452" spans="1:14" ht="20.100000000000001" customHeight="1" x14ac:dyDescent="0.25">
      <c r="A452" s="15" t="s">
        <v>2319</v>
      </c>
      <c r="B452" s="16" t="s">
        <v>202</v>
      </c>
      <c r="C452" s="15">
        <v>8402408</v>
      </c>
      <c r="D452" s="16" t="s">
        <v>160</v>
      </c>
      <c r="E452" s="15" t="s">
        <v>2320</v>
      </c>
      <c r="F452" s="21" t="str">
        <f>HYPERLINK("https://psearch.kitsapgov.com/webappa/index.html?parcelID=1169424&amp;Theme=Imagery","1169424")</f>
        <v>1169424</v>
      </c>
      <c r="G452" s="16" t="s">
        <v>2321</v>
      </c>
      <c r="H452" s="17">
        <v>44585</v>
      </c>
      <c r="I452" s="18">
        <v>565000</v>
      </c>
      <c r="J452" s="19">
        <v>0.57999999999999996</v>
      </c>
      <c r="K452" s="16" t="s">
        <v>37</v>
      </c>
      <c r="L452" s="16" t="s">
        <v>20</v>
      </c>
      <c r="M452" s="16" t="s">
        <v>2322</v>
      </c>
      <c r="N452" s="16" t="s">
        <v>2323</v>
      </c>
    </row>
    <row r="453" spans="1:14" ht="20.100000000000001" customHeight="1" x14ac:dyDescent="0.25">
      <c r="A453" s="15" t="s">
        <v>2324</v>
      </c>
      <c r="B453" s="16" t="s">
        <v>202</v>
      </c>
      <c r="C453" s="15">
        <v>9402401</v>
      </c>
      <c r="D453" s="16" t="s">
        <v>434</v>
      </c>
      <c r="E453" s="15" t="s">
        <v>2325</v>
      </c>
      <c r="F453" s="21" t="str">
        <f>HYPERLINK("https://psearch.kitsapgov.com/webappa/index.html?parcelID=1053420&amp;Theme=Imagery","1053420")</f>
        <v>1053420</v>
      </c>
      <c r="G453" s="16" t="s">
        <v>2326</v>
      </c>
      <c r="H453" s="17">
        <v>44559</v>
      </c>
      <c r="I453" s="18">
        <v>1000</v>
      </c>
      <c r="J453" s="19">
        <v>3.74</v>
      </c>
      <c r="K453" s="16" t="s">
        <v>205</v>
      </c>
      <c r="L453" s="16" t="s">
        <v>631</v>
      </c>
      <c r="M453" s="16" t="s">
        <v>2327</v>
      </c>
      <c r="N453" s="16" t="s">
        <v>907</v>
      </c>
    </row>
    <row r="454" spans="1:14" ht="20.100000000000001" customHeight="1" x14ac:dyDescent="0.25">
      <c r="A454" s="15" t="s">
        <v>2328</v>
      </c>
      <c r="B454" s="16" t="s">
        <v>2329</v>
      </c>
      <c r="C454" s="15">
        <v>9402401</v>
      </c>
      <c r="D454" s="16" t="s">
        <v>434</v>
      </c>
      <c r="E454" s="15" t="s">
        <v>2330</v>
      </c>
      <c r="F454" s="21" t="str">
        <f>HYPERLINK("https://psearch.kitsapgov.com/webappa/index.html?parcelID=1053446&amp;Theme=Imagery","1053446")</f>
        <v>1053446</v>
      </c>
      <c r="G454" s="16" t="s">
        <v>2331</v>
      </c>
      <c r="H454" s="17">
        <v>44559</v>
      </c>
      <c r="I454" s="18">
        <v>1000</v>
      </c>
      <c r="J454" s="19">
        <v>1.03</v>
      </c>
      <c r="K454" s="16" t="s">
        <v>205</v>
      </c>
      <c r="L454" s="16" t="s">
        <v>631</v>
      </c>
      <c r="M454" s="16" t="s">
        <v>2332</v>
      </c>
      <c r="N454" s="16" t="s">
        <v>2333</v>
      </c>
    </row>
    <row r="455" spans="1:14" ht="20.100000000000001" customHeight="1" x14ac:dyDescent="0.25">
      <c r="A455" s="15" t="s">
        <v>2334</v>
      </c>
      <c r="B455" s="16" t="s">
        <v>105</v>
      </c>
      <c r="C455" s="15">
        <v>8401101</v>
      </c>
      <c r="D455" s="16" t="s">
        <v>305</v>
      </c>
      <c r="E455" s="15" t="s">
        <v>2335</v>
      </c>
      <c r="F455" s="21" t="str">
        <f>HYPERLINK("https://psearch.kitsapgov.com/webappa/index.html?parcelID=2553048&amp;Theme=Imagery","2553048")</f>
        <v>2553048</v>
      </c>
      <c r="G455" s="16" t="s">
        <v>2336</v>
      </c>
      <c r="H455" s="17">
        <v>44588</v>
      </c>
      <c r="I455" s="18">
        <v>1600000</v>
      </c>
      <c r="J455" s="19">
        <v>3.39</v>
      </c>
      <c r="K455" s="16" t="s">
        <v>37</v>
      </c>
      <c r="L455" s="16" t="s">
        <v>20</v>
      </c>
      <c r="M455" s="16" t="s">
        <v>2337</v>
      </c>
      <c r="N455" s="16" t="s">
        <v>2338</v>
      </c>
    </row>
    <row r="456" spans="1:14" ht="20.100000000000001" customHeight="1" x14ac:dyDescent="0.25">
      <c r="A456" s="15" t="s">
        <v>2339</v>
      </c>
      <c r="B456" s="16" t="s">
        <v>105</v>
      </c>
      <c r="C456" s="15">
        <v>8401104</v>
      </c>
      <c r="D456" s="16" t="s">
        <v>241</v>
      </c>
      <c r="E456" s="15" t="s">
        <v>2340</v>
      </c>
      <c r="F456" s="21" t="str">
        <f>HYPERLINK("https://psearch.kitsapgov.com/webappa/index.html?parcelID=1978261&amp;Theme=Imagery","1978261")</f>
        <v>1978261</v>
      </c>
      <c r="G456" s="16" t="s">
        <v>2341</v>
      </c>
      <c r="H456" s="17">
        <v>44566</v>
      </c>
      <c r="I456" s="18">
        <v>260000</v>
      </c>
      <c r="J456" s="19">
        <v>4.37</v>
      </c>
      <c r="K456" s="16" t="s">
        <v>492</v>
      </c>
      <c r="L456" s="16" t="s">
        <v>20</v>
      </c>
      <c r="M456" s="16" t="s">
        <v>2342</v>
      </c>
      <c r="N456" s="16" t="s">
        <v>2343</v>
      </c>
    </row>
    <row r="457" spans="1:14" ht="20.100000000000001" customHeight="1" x14ac:dyDescent="0.25">
      <c r="A457" s="15" t="s">
        <v>2344</v>
      </c>
      <c r="B457" s="16" t="s">
        <v>98</v>
      </c>
      <c r="C457" s="15">
        <v>8400206</v>
      </c>
      <c r="D457" s="16" t="s">
        <v>99</v>
      </c>
      <c r="E457" s="15" t="s">
        <v>1795</v>
      </c>
      <c r="F457" s="21" t="str">
        <f>HYPERLINK("https://psearch.kitsapgov.com/webappa/index.html?parcelID=2071215&amp;Theme=Imagery","2071215")</f>
        <v>2071215</v>
      </c>
      <c r="G457" s="16" t="s">
        <v>1796</v>
      </c>
      <c r="H457" s="17">
        <v>44582</v>
      </c>
      <c r="I457" s="18">
        <v>24000</v>
      </c>
      <c r="J457" s="19">
        <v>0</v>
      </c>
      <c r="L457" s="16" t="s">
        <v>20</v>
      </c>
      <c r="M457" s="16" t="s">
        <v>2345</v>
      </c>
      <c r="N457" s="16" t="s">
        <v>2346</v>
      </c>
    </row>
    <row r="458" spans="1:14" ht="20.100000000000001" customHeight="1" x14ac:dyDescent="0.25">
      <c r="A458" s="15" t="s">
        <v>2347</v>
      </c>
      <c r="B458" s="16" t="s">
        <v>324</v>
      </c>
      <c r="C458" s="15">
        <v>8400203</v>
      </c>
      <c r="D458" s="16" t="s">
        <v>353</v>
      </c>
      <c r="E458" s="15" t="s">
        <v>2348</v>
      </c>
      <c r="F458" s="21" t="str">
        <f>HYPERLINK("https://psearch.kitsapgov.com/webappa/index.html?parcelID=1336247&amp;Theme=Imagery","1336247")</f>
        <v>1336247</v>
      </c>
      <c r="G458" s="16" t="s">
        <v>2349</v>
      </c>
      <c r="H458" s="17">
        <v>44592</v>
      </c>
      <c r="I458" s="18">
        <v>925000</v>
      </c>
      <c r="J458" s="19">
        <v>0.52</v>
      </c>
      <c r="K458" s="16" t="s">
        <v>356</v>
      </c>
      <c r="L458" s="16" t="s">
        <v>38</v>
      </c>
      <c r="M458" s="16" t="s">
        <v>2350</v>
      </c>
      <c r="N458" s="16" t="s">
        <v>2351</v>
      </c>
    </row>
    <row r="459" spans="1:14" ht="20.100000000000001" customHeight="1" x14ac:dyDescent="0.25">
      <c r="A459" s="15" t="s">
        <v>2352</v>
      </c>
      <c r="B459" s="16" t="s">
        <v>78</v>
      </c>
      <c r="C459" s="15">
        <v>9401591</v>
      </c>
      <c r="D459" s="16" t="s">
        <v>1297</v>
      </c>
      <c r="E459" s="15" t="s">
        <v>2353</v>
      </c>
      <c r="F459" s="21" t="str">
        <f>HYPERLINK("https://psearch.kitsapgov.com/webappa/index.html?parcelID=1256445&amp;Theme=Imagery","1256445")</f>
        <v>1256445</v>
      </c>
      <c r="G459" s="16" t="s">
        <v>2354</v>
      </c>
      <c r="H459" s="17">
        <v>44585</v>
      </c>
      <c r="I459" s="18">
        <v>282099</v>
      </c>
      <c r="J459" s="19">
        <v>3.86</v>
      </c>
      <c r="K459" s="16" t="s">
        <v>37</v>
      </c>
      <c r="L459" s="16" t="s">
        <v>1501</v>
      </c>
      <c r="M459" s="16" t="s">
        <v>2355</v>
      </c>
      <c r="N459" s="16" t="s">
        <v>2356</v>
      </c>
    </row>
    <row r="460" spans="1:14" ht="20.100000000000001" customHeight="1" x14ac:dyDescent="0.25">
      <c r="A460" s="15" t="s">
        <v>2357</v>
      </c>
      <c r="B460" s="16" t="s">
        <v>16</v>
      </c>
      <c r="C460" s="15">
        <v>8303601</v>
      </c>
      <c r="D460" s="16" t="s">
        <v>25</v>
      </c>
      <c r="E460" s="15" t="s">
        <v>2358</v>
      </c>
      <c r="F460" s="21" t="str">
        <f>HYPERLINK("https://psearch.kitsapgov.com/webappa/index.html?parcelID=2328383&amp;Theme=Imagery","2328383")</f>
        <v>2328383</v>
      </c>
      <c r="G460" s="16" t="s">
        <v>2359</v>
      </c>
      <c r="H460" s="17">
        <v>44594</v>
      </c>
      <c r="I460" s="18">
        <v>172000</v>
      </c>
      <c r="J460" s="19">
        <v>0</v>
      </c>
      <c r="L460" s="16" t="s">
        <v>20</v>
      </c>
      <c r="M460" s="16" t="s">
        <v>2360</v>
      </c>
      <c r="N460" s="16" t="s">
        <v>2361</v>
      </c>
    </row>
    <row r="461" spans="1:14" ht="20.100000000000001" customHeight="1" x14ac:dyDescent="0.25">
      <c r="A461" s="15" t="s">
        <v>2362</v>
      </c>
      <c r="B461" s="16" t="s">
        <v>24</v>
      </c>
      <c r="C461" s="15">
        <v>8402307</v>
      </c>
      <c r="D461" s="16" t="s">
        <v>131</v>
      </c>
      <c r="E461" s="15" t="s">
        <v>2363</v>
      </c>
      <c r="F461" s="21" t="str">
        <f>HYPERLINK("https://psearch.kitsapgov.com/webappa/index.html?parcelID=2317097&amp;Theme=Imagery","2317097")</f>
        <v>2317097</v>
      </c>
      <c r="G461" s="16" t="s">
        <v>2364</v>
      </c>
      <c r="H461" s="17">
        <v>44595</v>
      </c>
      <c r="I461" s="18">
        <v>753250</v>
      </c>
      <c r="J461" s="19">
        <v>0.82</v>
      </c>
      <c r="K461" s="16" t="s">
        <v>515</v>
      </c>
      <c r="L461" s="16" t="s">
        <v>190</v>
      </c>
      <c r="M461" s="16" t="s">
        <v>2365</v>
      </c>
      <c r="N461" s="16" t="s">
        <v>2366</v>
      </c>
    </row>
    <row r="462" spans="1:14" ht="20.100000000000001" customHeight="1" x14ac:dyDescent="0.25">
      <c r="A462" s="15" t="s">
        <v>2367</v>
      </c>
      <c r="B462" s="16" t="s">
        <v>78</v>
      </c>
      <c r="C462" s="15">
        <v>8401102</v>
      </c>
      <c r="D462" s="16" t="s">
        <v>17</v>
      </c>
      <c r="E462" s="15" t="s">
        <v>540</v>
      </c>
      <c r="F462" s="21" t="str">
        <f>HYPERLINK("https://psearch.kitsapgov.com/webappa/index.html?parcelID=1246438&amp;Theme=Imagery","1246438")</f>
        <v>1246438</v>
      </c>
      <c r="G462" s="16" t="s">
        <v>541</v>
      </c>
      <c r="H462" s="17">
        <v>44595</v>
      </c>
      <c r="I462" s="18">
        <v>265000</v>
      </c>
      <c r="J462" s="19">
        <v>0.15</v>
      </c>
      <c r="K462" s="16" t="s">
        <v>308</v>
      </c>
      <c r="L462" s="16" t="s">
        <v>20</v>
      </c>
      <c r="M462" s="16" t="s">
        <v>543</v>
      </c>
      <c r="N462" s="16" t="s">
        <v>2368</v>
      </c>
    </row>
    <row r="463" spans="1:14" ht="20.100000000000001" customHeight="1" x14ac:dyDescent="0.25">
      <c r="A463" s="15" t="s">
        <v>2369</v>
      </c>
      <c r="B463" s="16" t="s">
        <v>105</v>
      </c>
      <c r="C463" s="15">
        <v>8303601</v>
      </c>
      <c r="D463" s="16" t="s">
        <v>25</v>
      </c>
      <c r="E463" s="15" t="s">
        <v>2370</v>
      </c>
      <c r="F463" s="21" t="str">
        <f>HYPERLINK("https://psearch.kitsapgov.com/webappa/index.html?parcelID=1306471&amp;Theme=Imagery","1306471")</f>
        <v>1306471</v>
      </c>
      <c r="G463" s="16" t="s">
        <v>2371</v>
      </c>
      <c r="H463" s="17">
        <v>44606</v>
      </c>
      <c r="I463" s="18">
        <v>6800</v>
      </c>
      <c r="J463" s="19">
        <v>0.19</v>
      </c>
      <c r="K463" s="16" t="s">
        <v>421</v>
      </c>
      <c r="L463" s="16" t="s">
        <v>406</v>
      </c>
      <c r="M463" s="16" t="s">
        <v>2372</v>
      </c>
      <c r="N463" s="16" t="s">
        <v>2373</v>
      </c>
    </row>
    <row r="464" spans="1:14" ht="20.100000000000001" customHeight="1" x14ac:dyDescent="0.25">
      <c r="A464" s="15" t="s">
        <v>2374</v>
      </c>
      <c r="B464" s="16" t="s">
        <v>130</v>
      </c>
      <c r="C464" s="15">
        <v>8400302</v>
      </c>
      <c r="D464" s="16" t="s">
        <v>397</v>
      </c>
      <c r="E464" s="15" t="s">
        <v>2375</v>
      </c>
      <c r="F464" s="21" t="str">
        <f>HYPERLINK("https://psearch.kitsapgov.com/webappa/index.html?parcelID=1408384&amp;Theme=Imagery","1408384")</f>
        <v>1408384</v>
      </c>
      <c r="G464" s="16" t="s">
        <v>2376</v>
      </c>
      <c r="H464" s="17">
        <v>44602</v>
      </c>
      <c r="I464" s="18">
        <v>4880000</v>
      </c>
      <c r="J464" s="19">
        <v>1.78</v>
      </c>
      <c r="K464" s="16" t="s">
        <v>343</v>
      </c>
      <c r="L464" s="16" t="s">
        <v>20</v>
      </c>
      <c r="M464" s="16" t="s">
        <v>2377</v>
      </c>
      <c r="N464" s="16" t="s">
        <v>2378</v>
      </c>
    </row>
    <row r="465" spans="1:14" ht="20.100000000000001" customHeight="1" x14ac:dyDescent="0.25">
      <c r="A465" s="15" t="s">
        <v>2379</v>
      </c>
      <c r="B465" s="16" t="s">
        <v>1244</v>
      </c>
      <c r="C465" s="15">
        <v>8401508</v>
      </c>
      <c r="D465" s="16" t="s">
        <v>1341</v>
      </c>
      <c r="E465" s="15" t="s">
        <v>2380</v>
      </c>
      <c r="F465" s="21" t="str">
        <f>HYPERLINK("https://psearch.kitsapgov.com/webappa/index.html?parcelID=2446318&amp;Theme=Imagery","2446318")</f>
        <v>2446318</v>
      </c>
      <c r="G465" s="16" t="s">
        <v>2381</v>
      </c>
      <c r="H465" s="17">
        <v>44607</v>
      </c>
      <c r="I465" s="18">
        <v>600000</v>
      </c>
      <c r="J465" s="19">
        <v>0.46</v>
      </c>
      <c r="K465" s="16" t="s">
        <v>37</v>
      </c>
      <c r="L465" s="16" t="s">
        <v>38</v>
      </c>
      <c r="M465" s="16" t="s">
        <v>2382</v>
      </c>
      <c r="N465" s="16" t="s">
        <v>2383</v>
      </c>
    </row>
    <row r="466" spans="1:14" ht="20.100000000000001" customHeight="1" x14ac:dyDescent="0.25">
      <c r="A466" s="15" t="s">
        <v>2384</v>
      </c>
      <c r="B466" s="16" t="s">
        <v>285</v>
      </c>
      <c r="C466" s="15">
        <v>8100502</v>
      </c>
      <c r="D466" s="16" t="s">
        <v>142</v>
      </c>
      <c r="E466" s="15" t="s">
        <v>2385</v>
      </c>
      <c r="F466" s="21" t="str">
        <f>HYPERLINK("https://psearch.kitsapgov.com/webappa/index.html?parcelID=1453976&amp;Theme=Imagery","1453976")</f>
        <v>1453976</v>
      </c>
      <c r="G466" s="16" t="s">
        <v>2386</v>
      </c>
      <c r="H466" s="17">
        <v>44610</v>
      </c>
      <c r="I466" s="18">
        <v>875000</v>
      </c>
      <c r="J466" s="19">
        <v>0.98</v>
      </c>
      <c r="K466" s="16" t="s">
        <v>168</v>
      </c>
      <c r="L466" s="16" t="s">
        <v>20</v>
      </c>
      <c r="M466" s="16" t="s">
        <v>2387</v>
      </c>
      <c r="N466" s="16" t="s">
        <v>2388</v>
      </c>
    </row>
    <row r="467" spans="1:14" ht="20.100000000000001" customHeight="1" x14ac:dyDescent="0.25">
      <c r="A467" s="15" t="s">
        <v>2389</v>
      </c>
      <c r="B467" s="16" t="s">
        <v>70</v>
      </c>
      <c r="C467" s="15">
        <v>8402408</v>
      </c>
      <c r="D467" s="16" t="s">
        <v>160</v>
      </c>
      <c r="E467" s="15" t="s">
        <v>2390</v>
      </c>
      <c r="F467" s="21" t="str">
        <f>HYPERLINK("https://psearch.kitsapgov.com/webappa/index.html?parcelID=1993468&amp;Theme=Imagery","1993468")</f>
        <v>1993468</v>
      </c>
      <c r="G467" s="16" t="s">
        <v>2391</v>
      </c>
      <c r="H467" s="17">
        <v>44610</v>
      </c>
      <c r="I467" s="18">
        <v>450000</v>
      </c>
      <c r="J467" s="19">
        <v>0.13</v>
      </c>
      <c r="K467" s="16" t="s">
        <v>1163</v>
      </c>
      <c r="L467" s="16" t="s">
        <v>20</v>
      </c>
      <c r="M467" s="16" t="s">
        <v>2392</v>
      </c>
      <c r="N467" s="16" t="s">
        <v>2393</v>
      </c>
    </row>
    <row r="468" spans="1:14" ht="20.100000000000001" customHeight="1" x14ac:dyDescent="0.25">
      <c r="A468" s="15" t="s">
        <v>2394</v>
      </c>
      <c r="B468" s="16" t="s">
        <v>42</v>
      </c>
      <c r="C468" s="15">
        <v>8401102</v>
      </c>
      <c r="D468" s="16" t="s">
        <v>17</v>
      </c>
      <c r="E468" s="15" t="s">
        <v>2395</v>
      </c>
      <c r="F468" s="21" t="str">
        <f>HYPERLINK("https://psearch.kitsapgov.com/webappa/index.html?parcelID=2607687&amp;Theme=Imagery","2607687")</f>
        <v>2607687</v>
      </c>
      <c r="G468" s="16" t="s">
        <v>2396</v>
      </c>
      <c r="H468" s="17">
        <v>44614</v>
      </c>
      <c r="I468" s="18">
        <v>1550000</v>
      </c>
      <c r="J468" s="19">
        <v>0.45</v>
      </c>
      <c r="K468" s="16" t="s">
        <v>308</v>
      </c>
      <c r="L468" s="16" t="s">
        <v>94</v>
      </c>
      <c r="M468" s="16" t="s">
        <v>2397</v>
      </c>
      <c r="N468" s="16" t="s">
        <v>2398</v>
      </c>
    </row>
    <row r="469" spans="1:14" ht="20.100000000000001" customHeight="1" x14ac:dyDescent="0.25">
      <c r="A469" s="15" t="s">
        <v>2399</v>
      </c>
      <c r="B469" s="16" t="s">
        <v>159</v>
      </c>
      <c r="C469" s="15">
        <v>8100502</v>
      </c>
      <c r="D469" s="16" t="s">
        <v>142</v>
      </c>
      <c r="E469" s="15" t="s">
        <v>2400</v>
      </c>
      <c r="F469" s="21" t="str">
        <f>HYPERLINK("https://psearch.kitsapgov.com/webappa/index.html?parcelID=1468693&amp;Theme=Imagery","1468693")</f>
        <v>1468693</v>
      </c>
      <c r="G469" s="16" t="s">
        <v>2401</v>
      </c>
      <c r="H469" s="17">
        <v>44610</v>
      </c>
      <c r="I469" s="18">
        <v>325000</v>
      </c>
      <c r="J469" s="19">
        <v>0.14000000000000001</v>
      </c>
      <c r="K469" s="16" t="s">
        <v>980</v>
      </c>
      <c r="L469" s="16" t="s">
        <v>20</v>
      </c>
      <c r="M469" s="16" t="s">
        <v>2402</v>
      </c>
      <c r="N469" s="16" t="s">
        <v>2403</v>
      </c>
    </row>
    <row r="470" spans="1:14" ht="20.100000000000001" customHeight="1" x14ac:dyDescent="0.25">
      <c r="A470" s="15" t="s">
        <v>2404</v>
      </c>
      <c r="B470" s="16" t="s">
        <v>159</v>
      </c>
      <c r="C470" s="15">
        <v>8401101</v>
      </c>
      <c r="D470" s="16" t="s">
        <v>305</v>
      </c>
      <c r="E470" s="15" t="s">
        <v>2405</v>
      </c>
      <c r="F470" s="21" t="str">
        <f>HYPERLINK("https://psearch.kitsapgov.com/webappa/index.html?parcelID=1960665&amp;Theme=Imagery","1960665")</f>
        <v>1960665</v>
      </c>
      <c r="G470" s="16" t="s">
        <v>2406</v>
      </c>
      <c r="H470" s="17">
        <v>44620</v>
      </c>
      <c r="I470" s="18">
        <v>3200000</v>
      </c>
      <c r="J470" s="19">
        <v>1.23</v>
      </c>
      <c r="K470" s="16" t="s">
        <v>308</v>
      </c>
      <c r="L470" s="16" t="s">
        <v>38</v>
      </c>
      <c r="M470" s="16" t="s">
        <v>2407</v>
      </c>
      <c r="N470" s="16" t="s">
        <v>2408</v>
      </c>
    </row>
    <row r="471" spans="1:14" ht="20.100000000000001" customHeight="1" x14ac:dyDescent="0.25">
      <c r="A471" s="15" t="s">
        <v>2409</v>
      </c>
      <c r="B471" s="16" t="s">
        <v>70</v>
      </c>
      <c r="C471" s="15">
        <v>8402307</v>
      </c>
      <c r="D471" s="16" t="s">
        <v>131</v>
      </c>
      <c r="E471" s="15" t="s">
        <v>2410</v>
      </c>
      <c r="F471" s="21" t="str">
        <f>HYPERLINK("https://psearch.kitsapgov.com/webappa/index.html?parcelID=1040492&amp;Theme=Imagery","1040492")</f>
        <v>1040492</v>
      </c>
      <c r="G471" s="16" t="s">
        <v>2411</v>
      </c>
      <c r="H471" s="17">
        <v>44617</v>
      </c>
      <c r="I471" s="18">
        <v>4545000</v>
      </c>
      <c r="J471" s="19">
        <v>2.34</v>
      </c>
      <c r="K471" s="16" t="s">
        <v>368</v>
      </c>
      <c r="L471" s="16" t="s">
        <v>20</v>
      </c>
      <c r="M471" s="16" t="s">
        <v>2412</v>
      </c>
      <c r="N471" s="16" t="s">
        <v>2413</v>
      </c>
    </row>
    <row r="472" spans="1:14" ht="20.100000000000001" customHeight="1" x14ac:dyDescent="0.25">
      <c r="A472" s="15" t="s">
        <v>2414</v>
      </c>
      <c r="B472" s="16" t="s">
        <v>1759</v>
      </c>
      <c r="C472" s="15">
        <v>8401102</v>
      </c>
      <c r="D472" s="16" t="s">
        <v>17</v>
      </c>
      <c r="E472" s="15" t="s">
        <v>2415</v>
      </c>
      <c r="F472" s="21" t="str">
        <f>HYPERLINK("https://psearch.kitsapgov.com/webappa/index.html?parcelID=1886720&amp;Theme=Imagery","1886720")</f>
        <v>1886720</v>
      </c>
      <c r="G472" s="16" t="s">
        <v>2416</v>
      </c>
      <c r="H472" s="17">
        <v>44615</v>
      </c>
      <c r="I472" s="18">
        <v>300000</v>
      </c>
      <c r="J472" s="19">
        <v>0</v>
      </c>
      <c r="K472" s="16" t="s">
        <v>308</v>
      </c>
      <c r="L472" s="16" t="s">
        <v>20</v>
      </c>
      <c r="M472" s="16" t="s">
        <v>2417</v>
      </c>
      <c r="N472" s="16" t="s">
        <v>2418</v>
      </c>
    </row>
    <row r="473" spans="1:14" ht="20.100000000000001" customHeight="1" x14ac:dyDescent="0.25">
      <c r="A473" s="15" t="s">
        <v>2419</v>
      </c>
      <c r="B473" s="16" t="s">
        <v>1044</v>
      </c>
      <c r="C473" s="15">
        <v>8401103</v>
      </c>
      <c r="D473" s="16" t="s">
        <v>2420</v>
      </c>
      <c r="E473" s="15" t="s">
        <v>2421</v>
      </c>
      <c r="F473" s="21" t="str">
        <f>HYPERLINK("https://psearch.kitsapgov.com/webappa/index.html?parcelID=2026060&amp;Theme=Imagery","2026060")</f>
        <v>2026060</v>
      </c>
      <c r="G473" s="16" t="s">
        <v>2422</v>
      </c>
      <c r="H473" s="17">
        <v>44621</v>
      </c>
      <c r="I473" s="18">
        <v>8000000</v>
      </c>
      <c r="J473" s="19">
        <v>6.08</v>
      </c>
      <c r="K473" s="16" t="s">
        <v>679</v>
      </c>
      <c r="L473" s="16" t="s">
        <v>20</v>
      </c>
      <c r="M473" s="16" t="s">
        <v>2423</v>
      </c>
      <c r="N473" s="16" t="s">
        <v>2424</v>
      </c>
    </row>
    <row r="474" spans="1:14" ht="20.100000000000001" customHeight="1" x14ac:dyDescent="0.25">
      <c r="A474" s="15" t="s">
        <v>2425</v>
      </c>
      <c r="B474" s="16" t="s">
        <v>209</v>
      </c>
      <c r="C474" s="15">
        <v>9400207</v>
      </c>
      <c r="D474" s="16" t="s">
        <v>2002</v>
      </c>
      <c r="E474" s="15" t="s">
        <v>2426</v>
      </c>
      <c r="F474" s="21" t="str">
        <f>HYPERLINK("https://psearch.kitsapgov.com/webappa/index.html?parcelID=1629211&amp;Theme=Imagery","1629211")</f>
        <v>1629211</v>
      </c>
      <c r="G474" s="16" t="s">
        <v>2427</v>
      </c>
      <c r="H474" s="17">
        <v>44614</v>
      </c>
      <c r="I474" s="18">
        <v>900000</v>
      </c>
      <c r="J474" s="19">
        <v>0.17</v>
      </c>
      <c r="K474" s="16" t="s">
        <v>2428</v>
      </c>
      <c r="L474" s="16" t="s">
        <v>38</v>
      </c>
      <c r="M474" s="16" t="s">
        <v>2429</v>
      </c>
      <c r="N474" s="16" t="s">
        <v>2430</v>
      </c>
    </row>
    <row r="475" spans="1:14" ht="20.100000000000001" customHeight="1" x14ac:dyDescent="0.25">
      <c r="A475" s="15" t="s">
        <v>2431</v>
      </c>
      <c r="B475" s="16" t="s">
        <v>1759</v>
      </c>
      <c r="C475" s="15">
        <v>8303601</v>
      </c>
      <c r="D475" s="16" t="s">
        <v>25</v>
      </c>
      <c r="E475" s="15" t="s">
        <v>2432</v>
      </c>
      <c r="F475" s="21" t="str">
        <f>HYPERLINK("https://psearch.kitsapgov.com/webappa/index.html?parcelID=2433605&amp;Theme=Imagery","2433605")</f>
        <v>2433605</v>
      </c>
      <c r="G475" s="16" t="s">
        <v>2433</v>
      </c>
      <c r="H475" s="17">
        <v>44622</v>
      </c>
      <c r="I475" s="18">
        <v>250000</v>
      </c>
      <c r="J475" s="19">
        <v>0</v>
      </c>
      <c r="L475" s="16" t="s">
        <v>20</v>
      </c>
      <c r="M475" s="16" t="s">
        <v>2434</v>
      </c>
      <c r="N475" s="16" t="s">
        <v>2435</v>
      </c>
    </row>
    <row r="476" spans="1:14" ht="20.100000000000001" customHeight="1" x14ac:dyDescent="0.25">
      <c r="A476" s="15" t="s">
        <v>2436</v>
      </c>
      <c r="B476" s="16" t="s">
        <v>159</v>
      </c>
      <c r="C476" s="15">
        <v>8400201</v>
      </c>
      <c r="D476" s="16" t="s">
        <v>496</v>
      </c>
      <c r="E476" s="15" t="s">
        <v>2191</v>
      </c>
      <c r="F476" s="21" t="str">
        <f>HYPERLINK("https://psearch.kitsapgov.com/webappa/index.html?parcelID=1550904&amp;Theme=Imagery","1550904")</f>
        <v>1550904</v>
      </c>
      <c r="G476" s="16" t="s">
        <v>2192</v>
      </c>
      <c r="H476" s="17">
        <v>44628</v>
      </c>
      <c r="I476" s="18">
        <v>325000</v>
      </c>
      <c r="J476" s="19">
        <v>0.04</v>
      </c>
      <c r="K476" s="16" t="s">
        <v>499</v>
      </c>
      <c r="L476" s="16" t="s">
        <v>20</v>
      </c>
      <c r="M476" s="16" t="s">
        <v>2437</v>
      </c>
      <c r="N476" s="16" t="s">
        <v>2438</v>
      </c>
    </row>
    <row r="477" spans="1:14" ht="20.100000000000001" customHeight="1" x14ac:dyDescent="0.25">
      <c r="A477" s="15" t="s">
        <v>2439</v>
      </c>
      <c r="B477" s="16" t="s">
        <v>2440</v>
      </c>
      <c r="C477" s="15">
        <v>8401102</v>
      </c>
      <c r="D477" s="16" t="s">
        <v>17</v>
      </c>
      <c r="E477" s="15" t="s">
        <v>2441</v>
      </c>
      <c r="F477" s="21" t="str">
        <f>HYPERLINK("https://psearch.kitsapgov.com/webappa/index.html?parcelID=2560571&amp;Theme=Imagery","2560571")</f>
        <v>2560571</v>
      </c>
      <c r="G477" s="16" t="s">
        <v>2442</v>
      </c>
      <c r="H477" s="17">
        <v>44629</v>
      </c>
      <c r="I477" s="18">
        <v>650000</v>
      </c>
      <c r="J477" s="19">
        <v>0.09</v>
      </c>
      <c r="K477" s="16" t="s">
        <v>308</v>
      </c>
      <c r="L477" s="16" t="s">
        <v>20</v>
      </c>
      <c r="M477" s="16" t="s">
        <v>2443</v>
      </c>
      <c r="N477" s="16" t="s">
        <v>2444</v>
      </c>
    </row>
    <row r="478" spans="1:14" ht="20.100000000000001" customHeight="1" x14ac:dyDescent="0.25">
      <c r="A478" s="15" t="s">
        <v>2445</v>
      </c>
      <c r="B478" s="16" t="s">
        <v>317</v>
      </c>
      <c r="C478" s="15">
        <v>9100541</v>
      </c>
      <c r="D478" s="16" t="s">
        <v>186</v>
      </c>
      <c r="E478" s="15" t="s">
        <v>2446</v>
      </c>
      <c r="F478" s="21" t="str">
        <f>HYPERLINK("https://psearch.kitsapgov.com/webappa/index.html?parcelID=1433499&amp;Theme=Imagery","1433499")</f>
        <v>1433499</v>
      </c>
      <c r="G478" s="16" t="s">
        <v>2447</v>
      </c>
      <c r="H478" s="17">
        <v>44636</v>
      </c>
      <c r="I478" s="18">
        <v>479000</v>
      </c>
      <c r="J478" s="19">
        <v>0.08</v>
      </c>
      <c r="K478" s="16" t="s">
        <v>377</v>
      </c>
      <c r="L478" s="16" t="s">
        <v>20</v>
      </c>
      <c r="M478" s="16" t="s">
        <v>2448</v>
      </c>
      <c r="N478" s="16" t="s">
        <v>2449</v>
      </c>
    </row>
    <row r="479" spans="1:14" ht="20.100000000000001" customHeight="1" x14ac:dyDescent="0.25">
      <c r="A479" s="15" t="s">
        <v>2450</v>
      </c>
      <c r="B479" s="16" t="s">
        <v>2451</v>
      </c>
      <c r="C479" s="15">
        <v>9100543</v>
      </c>
      <c r="D479" s="16" t="s">
        <v>1628</v>
      </c>
      <c r="E479" s="15" t="s">
        <v>2452</v>
      </c>
      <c r="F479" s="21" t="str">
        <f>HYPERLINK("https://psearch.kitsapgov.com/webappa/index.html?parcelID=1496330&amp;Theme=Imagery","1496330")</f>
        <v>1496330</v>
      </c>
      <c r="G479" s="16" t="s">
        <v>2453</v>
      </c>
      <c r="H479" s="17">
        <v>44636</v>
      </c>
      <c r="I479" s="18">
        <v>1750000</v>
      </c>
      <c r="J479" s="19">
        <v>1.59</v>
      </c>
      <c r="K479" s="16" t="s">
        <v>377</v>
      </c>
      <c r="L479" s="16" t="s">
        <v>190</v>
      </c>
      <c r="M479" s="16" t="s">
        <v>2454</v>
      </c>
      <c r="N479" s="16" t="s">
        <v>2455</v>
      </c>
    </row>
    <row r="480" spans="1:14" ht="20.100000000000001" customHeight="1" x14ac:dyDescent="0.25">
      <c r="A480" s="15" t="s">
        <v>2456</v>
      </c>
      <c r="B480" s="16" t="s">
        <v>1276</v>
      </c>
      <c r="C480" s="15">
        <v>8401101</v>
      </c>
      <c r="D480" s="16" t="s">
        <v>305</v>
      </c>
      <c r="E480" s="15" t="s">
        <v>2457</v>
      </c>
      <c r="F480" s="21" t="str">
        <f>HYPERLINK("https://psearch.kitsapgov.com/webappa/index.html?parcelID=1242262&amp;Theme=Imagery","1242262")</f>
        <v>1242262</v>
      </c>
      <c r="G480" s="16" t="s">
        <v>2458</v>
      </c>
      <c r="H480" s="17">
        <v>44600</v>
      </c>
      <c r="I480" s="18">
        <v>6278657</v>
      </c>
      <c r="J480" s="19">
        <v>2.29</v>
      </c>
      <c r="K480" s="16" t="s">
        <v>308</v>
      </c>
      <c r="L480" s="16" t="s">
        <v>38</v>
      </c>
      <c r="M480" s="16" t="s">
        <v>2459</v>
      </c>
      <c r="N480" s="16" t="s">
        <v>2460</v>
      </c>
    </row>
    <row r="481" spans="1:14" ht="20.100000000000001" customHeight="1" x14ac:dyDescent="0.25">
      <c r="A481" s="15" t="s">
        <v>2461</v>
      </c>
      <c r="B481" s="16" t="s">
        <v>33</v>
      </c>
      <c r="C481" s="15">
        <v>8100501</v>
      </c>
      <c r="D481" s="16" t="s">
        <v>63</v>
      </c>
      <c r="E481" s="15" t="s">
        <v>2462</v>
      </c>
      <c r="F481" s="21" t="str">
        <f>HYPERLINK("https://psearch.kitsapgov.com/webappa/index.html?parcelID=1441237&amp;Theme=Imagery","1441237")</f>
        <v>1441237</v>
      </c>
      <c r="G481" s="16" t="s">
        <v>2463</v>
      </c>
      <c r="H481" s="17">
        <v>44638</v>
      </c>
      <c r="I481" s="18">
        <v>2880000</v>
      </c>
      <c r="J481" s="19">
        <v>1.21</v>
      </c>
      <c r="K481" s="16" t="s">
        <v>773</v>
      </c>
      <c r="L481" s="16" t="s">
        <v>20</v>
      </c>
      <c r="M481" s="16" t="s">
        <v>2464</v>
      </c>
      <c r="N481" s="16" t="s">
        <v>1793</v>
      </c>
    </row>
    <row r="482" spans="1:14" ht="20.100000000000001" customHeight="1" x14ac:dyDescent="0.25">
      <c r="A482" s="15" t="s">
        <v>2465</v>
      </c>
      <c r="B482" s="16" t="s">
        <v>78</v>
      </c>
      <c r="C482" s="15">
        <v>8402405</v>
      </c>
      <c r="D482" s="16" t="s">
        <v>71</v>
      </c>
      <c r="E482" s="15" t="s">
        <v>2466</v>
      </c>
      <c r="F482" s="21" t="str">
        <f>HYPERLINK("https://psearch.kitsapgov.com/webappa/index.html?parcelID=1211135&amp;Theme=Imagery","1211135")</f>
        <v>1211135</v>
      </c>
      <c r="G482" s="16" t="s">
        <v>2467</v>
      </c>
      <c r="H482" s="17">
        <v>44649</v>
      </c>
      <c r="I482" s="18">
        <v>145000</v>
      </c>
      <c r="J482" s="19">
        <v>0.84</v>
      </c>
      <c r="K482" s="16" t="s">
        <v>82</v>
      </c>
      <c r="L482" s="16" t="s">
        <v>38</v>
      </c>
      <c r="M482" s="16" t="s">
        <v>2468</v>
      </c>
      <c r="N482" s="16" t="s">
        <v>2469</v>
      </c>
    </row>
    <row r="483" spans="1:14" ht="20.100000000000001" customHeight="1" x14ac:dyDescent="0.25">
      <c r="A483" s="15" t="s">
        <v>2470</v>
      </c>
      <c r="B483" s="16" t="s">
        <v>280</v>
      </c>
      <c r="C483" s="15">
        <v>9400204</v>
      </c>
      <c r="D483" s="16" t="s">
        <v>884</v>
      </c>
      <c r="E483" s="15" t="s">
        <v>2471</v>
      </c>
      <c r="F483" s="21" t="str">
        <f>HYPERLINK("https://psearch.kitsapgov.com/webappa/index.html?parcelID=1234707&amp;Theme=Imagery","1234707")</f>
        <v>1234707</v>
      </c>
      <c r="G483" s="16" t="s">
        <v>2472</v>
      </c>
      <c r="H483" s="17">
        <v>44631</v>
      </c>
      <c r="I483" s="18">
        <v>120000</v>
      </c>
      <c r="J483" s="19">
        <v>0.13</v>
      </c>
      <c r="K483" s="16" t="s">
        <v>205</v>
      </c>
      <c r="L483" s="16" t="s">
        <v>213</v>
      </c>
      <c r="M483" s="16" t="s">
        <v>2473</v>
      </c>
      <c r="N483" s="16" t="s">
        <v>2474</v>
      </c>
    </row>
    <row r="484" spans="1:14" ht="20.100000000000001" customHeight="1" x14ac:dyDescent="0.25">
      <c r="A484" s="15" t="s">
        <v>2475</v>
      </c>
      <c r="B484" s="16" t="s">
        <v>78</v>
      </c>
      <c r="C484" s="15">
        <v>9402395</v>
      </c>
      <c r="D484" s="16" t="s">
        <v>1216</v>
      </c>
      <c r="E484" s="15" t="s">
        <v>2476</v>
      </c>
      <c r="F484" s="21" t="str">
        <f>HYPERLINK("https://psearch.kitsapgov.com/webappa/index.html?parcelID=1512318&amp;Theme=Imagery","1512318")</f>
        <v>1512318</v>
      </c>
      <c r="G484" s="16" t="s">
        <v>2477</v>
      </c>
      <c r="H484" s="17">
        <v>44649</v>
      </c>
      <c r="I484" s="18">
        <v>325000</v>
      </c>
      <c r="J484" s="19">
        <v>0.16</v>
      </c>
      <c r="K484" s="16" t="s">
        <v>276</v>
      </c>
      <c r="L484" s="16" t="s">
        <v>38</v>
      </c>
      <c r="M484" s="16" t="s">
        <v>2478</v>
      </c>
      <c r="N484" s="16" t="s">
        <v>2479</v>
      </c>
    </row>
    <row r="485" spans="1:14" ht="20.100000000000001" customHeight="1" x14ac:dyDescent="0.25">
      <c r="A485" s="15" t="s">
        <v>2480</v>
      </c>
      <c r="B485" s="16" t="s">
        <v>24</v>
      </c>
      <c r="C485" s="15">
        <v>8303601</v>
      </c>
      <c r="D485" s="16" t="s">
        <v>25</v>
      </c>
      <c r="E485" s="15" t="s">
        <v>2481</v>
      </c>
      <c r="F485" s="21" t="str">
        <f>HYPERLINK("https://psearch.kitsapgov.com/webappa/index.html?parcelID=2078970&amp;Theme=Imagery","2078970")</f>
        <v>2078970</v>
      </c>
      <c r="G485" s="16" t="s">
        <v>2482</v>
      </c>
      <c r="H485" s="17">
        <v>44651</v>
      </c>
      <c r="I485" s="18">
        <v>2000000</v>
      </c>
      <c r="J485" s="19">
        <v>0.99</v>
      </c>
      <c r="K485" s="16" t="s">
        <v>2483</v>
      </c>
      <c r="L485" s="16" t="s">
        <v>20</v>
      </c>
      <c r="M485" s="16" t="s">
        <v>2484</v>
      </c>
      <c r="N485" s="16" t="s">
        <v>2206</v>
      </c>
    </row>
    <row r="486" spans="1:14" ht="20.100000000000001" customHeight="1" x14ac:dyDescent="0.25">
      <c r="A486" s="15" t="s">
        <v>2485</v>
      </c>
      <c r="B486" s="16" t="s">
        <v>1044</v>
      </c>
      <c r="C486" s="15">
        <v>8100502</v>
      </c>
      <c r="D486" s="16" t="s">
        <v>142</v>
      </c>
      <c r="E486" s="15" t="s">
        <v>2486</v>
      </c>
      <c r="F486" s="21" t="str">
        <f>HYPERLINK("https://psearch.kitsapgov.com/webappa/index.html?parcelID=2592806&amp;Theme=Imagery","2592806")</f>
        <v>2592806</v>
      </c>
      <c r="G486" s="16" t="s">
        <v>2487</v>
      </c>
      <c r="H486" s="17">
        <v>44652</v>
      </c>
      <c r="I486" s="18">
        <v>10600000</v>
      </c>
      <c r="J486" s="19">
        <v>1.9</v>
      </c>
      <c r="K486" s="16" t="s">
        <v>168</v>
      </c>
      <c r="L486" s="16" t="s">
        <v>38</v>
      </c>
      <c r="M486" s="16" t="s">
        <v>2488</v>
      </c>
      <c r="N486" s="16" t="s">
        <v>2489</v>
      </c>
    </row>
    <row r="487" spans="1:14" ht="20.100000000000001" customHeight="1" x14ac:dyDescent="0.25">
      <c r="A487" s="15" t="s">
        <v>2490</v>
      </c>
      <c r="B487" s="16" t="s">
        <v>159</v>
      </c>
      <c r="C487" s="15">
        <v>8303601</v>
      </c>
      <c r="D487" s="16" t="s">
        <v>25</v>
      </c>
      <c r="E487" s="15" t="s">
        <v>2491</v>
      </c>
      <c r="F487" s="21" t="str">
        <f>HYPERLINK("https://psearch.kitsapgov.com/webappa/index.html?parcelID=2082766&amp;Theme=Imagery","2082766")</f>
        <v>2082766</v>
      </c>
      <c r="G487" s="16" t="s">
        <v>2492</v>
      </c>
      <c r="H487" s="17">
        <v>44651</v>
      </c>
      <c r="I487" s="18">
        <v>3000000</v>
      </c>
      <c r="J487" s="19">
        <v>0.79</v>
      </c>
      <c r="K487" s="16" t="s">
        <v>2483</v>
      </c>
      <c r="L487" s="16" t="s">
        <v>20</v>
      </c>
      <c r="M487" s="16" t="s">
        <v>2493</v>
      </c>
      <c r="N487" s="16" t="s">
        <v>2494</v>
      </c>
    </row>
    <row r="488" spans="1:14" ht="20.100000000000001" customHeight="1" x14ac:dyDescent="0.25">
      <c r="A488" s="15" t="s">
        <v>2495</v>
      </c>
      <c r="B488" s="16" t="s">
        <v>793</v>
      </c>
      <c r="C488" s="15">
        <v>8100504</v>
      </c>
      <c r="D488" s="16" t="s">
        <v>210</v>
      </c>
      <c r="E488" s="15" t="s">
        <v>2496</v>
      </c>
      <c r="F488" s="21" t="str">
        <f>HYPERLINK("https://psearch.kitsapgov.com/webappa/index.html?parcelID=1160795&amp;Theme=Imagery","1160795")</f>
        <v>1160795</v>
      </c>
      <c r="G488" s="16" t="s">
        <v>2497</v>
      </c>
      <c r="H488" s="17">
        <v>44637</v>
      </c>
      <c r="I488" s="18">
        <v>2500000</v>
      </c>
      <c r="J488" s="19">
        <v>1.42</v>
      </c>
      <c r="K488" s="16" t="s">
        <v>37</v>
      </c>
      <c r="L488" s="16" t="s">
        <v>20</v>
      </c>
      <c r="M488" s="16" t="s">
        <v>2498</v>
      </c>
      <c r="N488" s="16" t="s">
        <v>2499</v>
      </c>
    </row>
    <row r="489" spans="1:14" ht="20.100000000000001" customHeight="1" x14ac:dyDescent="0.25">
      <c r="A489" s="15" t="s">
        <v>2500</v>
      </c>
      <c r="B489" s="16" t="s">
        <v>105</v>
      </c>
      <c r="C489" s="15">
        <v>8100510</v>
      </c>
      <c r="D489" s="16" t="s">
        <v>106</v>
      </c>
      <c r="E489" s="15" t="s">
        <v>2501</v>
      </c>
      <c r="F489" s="21" t="str">
        <f>HYPERLINK("https://psearch.kitsapgov.com/webappa/index.html?parcelID=1439280&amp;Theme=Imagery","1439280")</f>
        <v>1439280</v>
      </c>
      <c r="G489" s="16" t="s">
        <v>2502</v>
      </c>
      <c r="H489" s="17">
        <v>44656</v>
      </c>
      <c r="I489" s="18">
        <v>170000</v>
      </c>
      <c r="J489" s="19">
        <v>0.63</v>
      </c>
      <c r="K489" s="16" t="s">
        <v>109</v>
      </c>
      <c r="L489" s="16" t="s">
        <v>20</v>
      </c>
      <c r="M489" s="16" t="s">
        <v>2503</v>
      </c>
      <c r="N489" s="16" t="s">
        <v>2504</v>
      </c>
    </row>
    <row r="490" spans="1:14" ht="20.100000000000001" customHeight="1" x14ac:dyDescent="0.25">
      <c r="A490" s="15" t="s">
        <v>2505</v>
      </c>
      <c r="B490" s="16" t="s">
        <v>2506</v>
      </c>
      <c r="C490" s="15">
        <v>8100506</v>
      </c>
      <c r="D490" s="16" t="s">
        <v>286</v>
      </c>
      <c r="E490" s="15" t="s">
        <v>2507</v>
      </c>
      <c r="F490" s="21" t="str">
        <f>HYPERLINK("https://psearch.kitsapgov.com/webappa/index.html?parcelID=1131853&amp;Theme=Imagery","1131853")</f>
        <v>1131853</v>
      </c>
      <c r="G490" s="16" t="s">
        <v>2508</v>
      </c>
      <c r="H490" s="17">
        <v>44651</v>
      </c>
      <c r="I490" s="18">
        <v>5300000</v>
      </c>
      <c r="J490" s="19">
        <v>0.63</v>
      </c>
      <c r="K490" s="16" t="s">
        <v>168</v>
      </c>
      <c r="L490" s="16" t="s">
        <v>38</v>
      </c>
      <c r="M490" s="16" t="s">
        <v>2509</v>
      </c>
      <c r="N490" s="16" t="s">
        <v>2510</v>
      </c>
    </row>
    <row r="491" spans="1:14" ht="20.100000000000001" customHeight="1" x14ac:dyDescent="0.25">
      <c r="A491" s="15" t="s">
        <v>2511</v>
      </c>
      <c r="B491" s="16" t="s">
        <v>24</v>
      </c>
      <c r="C491" s="15">
        <v>8100501</v>
      </c>
      <c r="D491" s="16" t="s">
        <v>63</v>
      </c>
      <c r="E491" s="15" t="s">
        <v>2512</v>
      </c>
      <c r="F491" s="21" t="str">
        <f>HYPERLINK("https://psearch.kitsapgov.com/webappa/index.html?parcelID=1426964&amp;Theme=Imagery","1426964")</f>
        <v>1426964</v>
      </c>
      <c r="G491" s="16" t="s">
        <v>2513</v>
      </c>
      <c r="H491" s="17">
        <v>44662</v>
      </c>
      <c r="I491" s="18">
        <v>1200000</v>
      </c>
      <c r="J491" s="19">
        <v>0.11</v>
      </c>
      <c r="K491" s="16" t="s">
        <v>93</v>
      </c>
      <c r="L491" s="16" t="s">
        <v>20</v>
      </c>
      <c r="M491" s="16" t="s">
        <v>2514</v>
      </c>
      <c r="N491" s="16" t="s">
        <v>2515</v>
      </c>
    </row>
    <row r="492" spans="1:14" ht="20.100000000000001" customHeight="1" x14ac:dyDescent="0.25">
      <c r="A492" s="15" t="s">
        <v>2516</v>
      </c>
      <c r="B492" s="16" t="s">
        <v>512</v>
      </c>
      <c r="C492" s="15">
        <v>8401101</v>
      </c>
      <c r="D492" s="16" t="s">
        <v>305</v>
      </c>
      <c r="E492" s="15" t="s">
        <v>2517</v>
      </c>
      <c r="F492" s="21" t="str">
        <f>HYPERLINK("https://psearch.kitsapgov.com/webappa/index.html?parcelID=1979921&amp;Theme=Imagery","1979921")</f>
        <v>1979921</v>
      </c>
      <c r="G492" s="16" t="s">
        <v>2518</v>
      </c>
      <c r="H492" s="17">
        <v>44659</v>
      </c>
      <c r="I492" s="18">
        <v>4600000</v>
      </c>
      <c r="J492" s="19">
        <v>1.48</v>
      </c>
      <c r="K492" s="16" t="s">
        <v>308</v>
      </c>
      <c r="L492" s="16" t="s">
        <v>20</v>
      </c>
      <c r="M492" s="16" t="s">
        <v>2519</v>
      </c>
      <c r="N492" s="16" t="s">
        <v>2520</v>
      </c>
    </row>
    <row r="493" spans="1:14" ht="20.100000000000001" customHeight="1" x14ac:dyDescent="0.25">
      <c r="A493" s="15" t="s">
        <v>2521</v>
      </c>
      <c r="B493" s="16" t="s">
        <v>2522</v>
      </c>
      <c r="C493" s="15">
        <v>8400204</v>
      </c>
      <c r="D493" s="16" t="s">
        <v>194</v>
      </c>
      <c r="E493" s="15" t="s">
        <v>2523</v>
      </c>
      <c r="F493" s="21" t="str">
        <f>HYPERLINK("https://psearch.kitsapgov.com/webappa/index.html?parcelID=2679629&amp;Theme=Imagery","2679629")</f>
        <v>2679629</v>
      </c>
      <c r="G493" s="16" t="s">
        <v>2524</v>
      </c>
      <c r="H493" s="17">
        <v>44651</v>
      </c>
      <c r="I493" s="18">
        <v>300000</v>
      </c>
      <c r="J493" s="19">
        <v>0</v>
      </c>
      <c r="L493" s="16" t="s">
        <v>631</v>
      </c>
      <c r="M493" s="16" t="s">
        <v>2525</v>
      </c>
      <c r="N493" s="16" t="s">
        <v>2526</v>
      </c>
    </row>
    <row r="494" spans="1:14" ht="20.100000000000001" customHeight="1" x14ac:dyDescent="0.25">
      <c r="A494" s="15" t="s">
        <v>2527</v>
      </c>
      <c r="B494" s="16" t="s">
        <v>48</v>
      </c>
      <c r="C494" s="15">
        <v>8401101</v>
      </c>
      <c r="D494" s="16" t="s">
        <v>305</v>
      </c>
      <c r="E494" s="15" t="s">
        <v>2528</v>
      </c>
      <c r="F494" s="21" t="str">
        <f>HYPERLINK("https://psearch.kitsapgov.com/webappa/index.html?parcelID=2649390&amp;Theme=Imagery","2649390")</f>
        <v>2649390</v>
      </c>
      <c r="G494" s="16" t="s">
        <v>2529</v>
      </c>
      <c r="H494" s="17">
        <v>44672</v>
      </c>
      <c r="I494" s="18">
        <v>424900</v>
      </c>
      <c r="J494" s="19">
        <v>1.71</v>
      </c>
      <c r="K494" s="16" t="s">
        <v>308</v>
      </c>
      <c r="L494" s="16" t="s">
        <v>920</v>
      </c>
      <c r="M494" s="16" t="s">
        <v>2530</v>
      </c>
      <c r="N494" s="16" t="s">
        <v>2531</v>
      </c>
    </row>
    <row r="495" spans="1:14" ht="20.100000000000001" customHeight="1" x14ac:dyDescent="0.25">
      <c r="A495" s="15" t="s">
        <v>2532</v>
      </c>
      <c r="B495" s="16" t="s">
        <v>317</v>
      </c>
      <c r="C495" s="15">
        <v>9100541</v>
      </c>
      <c r="D495" s="16" t="s">
        <v>186</v>
      </c>
      <c r="E495" s="15" t="s">
        <v>2533</v>
      </c>
      <c r="F495" s="21" t="str">
        <f>HYPERLINK("https://psearch.kitsapgov.com/webappa/index.html?parcelID=1467109&amp;Theme=Imagery","1467109")</f>
        <v>1467109</v>
      </c>
      <c r="G495" s="16" t="s">
        <v>2534</v>
      </c>
      <c r="H495" s="17">
        <v>44672</v>
      </c>
      <c r="I495" s="18">
        <v>350000</v>
      </c>
      <c r="J495" s="19">
        <v>0.17</v>
      </c>
      <c r="K495" s="16" t="s">
        <v>377</v>
      </c>
      <c r="L495" s="16" t="s">
        <v>38</v>
      </c>
      <c r="M495" s="16" t="s">
        <v>2535</v>
      </c>
      <c r="N495" s="16" t="s">
        <v>2536</v>
      </c>
    </row>
    <row r="496" spans="1:14" ht="20.100000000000001" customHeight="1" x14ac:dyDescent="0.25">
      <c r="A496" s="15" t="s">
        <v>2537</v>
      </c>
      <c r="B496" s="16" t="s">
        <v>105</v>
      </c>
      <c r="C496" s="15">
        <v>8100502</v>
      </c>
      <c r="D496" s="16" t="s">
        <v>142</v>
      </c>
      <c r="E496" s="15" t="s">
        <v>2538</v>
      </c>
      <c r="F496" s="21" t="str">
        <f>HYPERLINK("https://psearch.kitsapgov.com/webappa/index.html?parcelID=2632297&amp;Theme=Imagery","2632297")</f>
        <v>2632297</v>
      </c>
      <c r="G496" s="16" t="s">
        <v>2539</v>
      </c>
      <c r="H496" s="17">
        <v>44662</v>
      </c>
      <c r="I496" s="18">
        <v>1700000</v>
      </c>
      <c r="J496" s="19">
        <v>20.29</v>
      </c>
      <c r="K496" s="16" t="s">
        <v>1029</v>
      </c>
      <c r="L496" s="16" t="s">
        <v>20</v>
      </c>
      <c r="M496" s="16" t="s">
        <v>2540</v>
      </c>
      <c r="N496" s="16" t="s">
        <v>2541</v>
      </c>
    </row>
    <row r="497" spans="1:14" ht="20.100000000000001" customHeight="1" x14ac:dyDescent="0.25">
      <c r="A497" s="15" t="s">
        <v>2542</v>
      </c>
      <c r="B497" s="16" t="s">
        <v>105</v>
      </c>
      <c r="C497" s="15">
        <v>8400201</v>
      </c>
      <c r="D497" s="16" t="s">
        <v>496</v>
      </c>
      <c r="E497" s="15" t="s">
        <v>2543</v>
      </c>
      <c r="F497" s="21" t="str">
        <f>HYPERLINK("https://psearch.kitsapgov.com/webappa/index.html?parcelID=1342898&amp;Theme=Imagery","1342898")</f>
        <v>1342898</v>
      </c>
      <c r="G497" s="16" t="s">
        <v>2544</v>
      </c>
      <c r="H497" s="17">
        <v>44669</v>
      </c>
      <c r="I497" s="18">
        <v>475000</v>
      </c>
      <c r="J497" s="19">
        <v>0.24</v>
      </c>
      <c r="K497" s="16" t="s">
        <v>499</v>
      </c>
      <c r="L497" s="16" t="s">
        <v>20</v>
      </c>
      <c r="M497" s="16" t="s">
        <v>2545</v>
      </c>
      <c r="N497" s="16" t="s">
        <v>2546</v>
      </c>
    </row>
    <row r="498" spans="1:14" ht="20.100000000000001" customHeight="1" x14ac:dyDescent="0.25">
      <c r="A498" s="15" t="s">
        <v>2547</v>
      </c>
      <c r="B498" s="16" t="s">
        <v>78</v>
      </c>
      <c r="C498" s="15">
        <v>8401508</v>
      </c>
      <c r="D498" s="16" t="s">
        <v>1341</v>
      </c>
      <c r="E498" s="15" t="s">
        <v>2548</v>
      </c>
      <c r="F498" s="21" t="str">
        <f>HYPERLINK("https://psearch.kitsapgov.com/webappa/index.html?parcelID=1278647&amp;Theme=Imagery","1278647")</f>
        <v>1278647</v>
      </c>
      <c r="G498" s="16" t="s">
        <v>2549</v>
      </c>
      <c r="H498" s="17">
        <v>44456</v>
      </c>
      <c r="I498" s="18">
        <v>219807</v>
      </c>
      <c r="J498" s="19">
        <v>0.42</v>
      </c>
      <c r="K498" s="16" t="s">
        <v>37</v>
      </c>
      <c r="L498" s="16" t="s">
        <v>29</v>
      </c>
      <c r="M498" s="16" t="s">
        <v>2550</v>
      </c>
      <c r="N498" s="16" t="s">
        <v>2551</v>
      </c>
    </row>
    <row r="499" spans="1:14" ht="20.100000000000001" customHeight="1" x14ac:dyDescent="0.25">
      <c r="A499" s="15" t="s">
        <v>2552</v>
      </c>
      <c r="B499" s="16" t="s">
        <v>105</v>
      </c>
      <c r="C499" s="15">
        <v>8401104</v>
      </c>
      <c r="D499" s="16" t="s">
        <v>241</v>
      </c>
      <c r="E499" s="15" t="s">
        <v>2553</v>
      </c>
      <c r="F499" s="21" t="str">
        <f>HYPERLINK("https://psearch.kitsapgov.com/webappa/index.html?parcelID=2251817&amp;Theme=Imagery","2251817")</f>
        <v>2251817</v>
      </c>
      <c r="G499" s="16" t="s">
        <v>2554</v>
      </c>
      <c r="H499" s="17">
        <v>44677</v>
      </c>
      <c r="I499" s="18">
        <v>1300000</v>
      </c>
      <c r="J499" s="19">
        <v>5.59</v>
      </c>
      <c r="K499" s="16" t="s">
        <v>37</v>
      </c>
      <c r="L499" s="16" t="s">
        <v>38</v>
      </c>
      <c r="M499" s="16" t="s">
        <v>2555</v>
      </c>
      <c r="N499" s="16" t="s">
        <v>2556</v>
      </c>
    </row>
    <row r="500" spans="1:14" ht="20.100000000000001" customHeight="1" x14ac:dyDescent="0.25">
      <c r="A500" s="15" t="s">
        <v>2557</v>
      </c>
      <c r="B500" s="16" t="s">
        <v>159</v>
      </c>
      <c r="C500" s="15">
        <v>8100502</v>
      </c>
      <c r="D500" s="16" t="s">
        <v>142</v>
      </c>
      <c r="E500" s="15" t="s">
        <v>2558</v>
      </c>
      <c r="F500" s="21" t="str">
        <f>HYPERLINK("https://psearch.kitsapgov.com/webappa/index.html?parcelID=1457282&amp;Theme=Imagery","1457282")</f>
        <v>1457282</v>
      </c>
      <c r="G500" s="16" t="s">
        <v>2559</v>
      </c>
      <c r="H500" s="17">
        <v>44676</v>
      </c>
      <c r="I500" s="18">
        <v>1225000</v>
      </c>
      <c r="J500" s="19">
        <v>0.42</v>
      </c>
      <c r="K500" s="16" t="s">
        <v>168</v>
      </c>
      <c r="L500" s="16" t="s">
        <v>20</v>
      </c>
      <c r="M500" s="16" t="s">
        <v>2560</v>
      </c>
      <c r="N500" s="16" t="s">
        <v>2561</v>
      </c>
    </row>
    <row r="501" spans="1:14" ht="20.100000000000001" customHeight="1" x14ac:dyDescent="0.25">
      <c r="A501" s="15" t="s">
        <v>2562</v>
      </c>
      <c r="B501" s="16" t="s">
        <v>62</v>
      </c>
      <c r="C501" s="15">
        <v>8100502</v>
      </c>
      <c r="D501" s="16" t="s">
        <v>142</v>
      </c>
      <c r="E501" s="15" t="s">
        <v>2563</v>
      </c>
      <c r="F501" s="21" t="str">
        <f>HYPERLINK("https://psearch.kitsapgov.com/webappa/index.html?parcelID=1444611&amp;Theme=Imagery","1444611")</f>
        <v>1444611</v>
      </c>
      <c r="G501" s="16" t="s">
        <v>2564</v>
      </c>
      <c r="H501" s="17">
        <v>44669</v>
      </c>
      <c r="I501" s="18">
        <v>280000</v>
      </c>
      <c r="J501" s="19">
        <v>0.34</v>
      </c>
      <c r="K501" s="16" t="s">
        <v>168</v>
      </c>
      <c r="L501" s="16" t="s">
        <v>20</v>
      </c>
      <c r="M501" s="16" t="s">
        <v>2565</v>
      </c>
      <c r="N501" s="16" t="s">
        <v>2566</v>
      </c>
    </row>
    <row r="502" spans="1:14" ht="20.100000000000001" customHeight="1" x14ac:dyDescent="0.25">
      <c r="A502" s="15" t="s">
        <v>2567</v>
      </c>
      <c r="B502" s="16" t="s">
        <v>98</v>
      </c>
      <c r="C502" s="15">
        <v>8400206</v>
      </c>
      <c r="D502" s="16" t="s">
        <v>99</v>
      </c>
      <c r="E502" s="15" t="s">
        <v>2568</v>
      </c>
      <c r="F502" s="21" t="str">
        <f>HYPERLINK("https://psearch.kitsapgov.com/webappa/index.html?parcelID=2070928&amp;Theme=Imagery","2070928")</f>
        <v>2070928</v>
      </c>
      <c r="G502" s="16" t="s">
        <v>2569</v>
      </c>
      <c r="H502" s="17">
        <v>44679</v>
      </c>
      <c r="I502" s="18">
        <v>79000</v>
      </c>
      <c r="J502" s="19">
        <v>0</v>
      </c>
      <c r="L502" s="16" t="s">
        <v>20</v>
      </c>
      <c r="M502" s="16" t="s">
        <v>2570</v>
      </c>
      <c r="N502" s="16" t="s">
        <v>1581</v>
      </c>
    </row>
    <row r="503" spans="1:14" ht="20.100000000000001" customHeight="1" x14ac:dyDescent="0.25">
      <c r="A503" s="15" t="s">
        <v>2571</v>
      </c>
      <c r="B503" s="16" t="s">
        <v>98</v>
      </c>
      <c r="C503" s="15">
        <v>8400206</v>
      </c>
      <c r="D503" s="16" t="s">
        <v>99</v>
      </c>
      <c r="E503" s="15" t="s">
        <v>1579</v>
      </c>
      <c r="F503" s="21" t="str">
        <f>HYPERLINK("https://psearch.kitsapgov.com/webappa/index.html?parcelID=2071645&amp;Theme=Imagery","2071645")</f>
        <v>2071645</v>
      </c>
      <c r="G503" s="16" t="s">
        <v>486</v>
      </c>
      <c r="H503" s="17">
        <v>44676</v>
      </c>
      <c r="I503" s="18">
        <v>89000</v>
      </c>
      <c r="J503" s="19">
        <v>0</v>
      </c>
      <c r="L503" s="16" t="s">
        <v>20</v>
      </c>
      <c r="M503" s="16" t="s">
        <v>1581</v>
      </c>
      <c r="N503" s="16" t="s">
        <v>2572</v>
      </c>
    </row>
    <row r="504" spans="1:14" ht="20.100000000000001" customHeight="1" x14ac:dyDescent="0.25">
      <c r="A504" s="15" t="s">
        <v>2573</v>
      </c>
      <c r="B504" s="16" t="s">
        <v>98</v>
      </c>
      <c r="C504" s="15">
        <v>8400206</v>
      </c>
      <c r="D504" s="16" t="s">
        <v>99</v>
      </c>
      <c r="E504" s="15" t="s">
        <v>2574</v>
      </c>
      <c r="F504" s="21" t="str">
        <f>HYPERLINK("https://psearch.kitsapgov.com/webappa/index.html?parcelID=2070902&amp;Theme=Imagery","2070902")</f>
        <v>2070902</v>
      </c>
      <c r="G504" s="16" t="s">
        <v>2575</v>
      </c>
      <c r="H504" s="17">
        <v>44672</v>
      </c>
      <c r="I504" s="18">
        <v>79000</v>
      </c>
      <c r="J504" s="19">
        <v>0</v>
      </c>
      <c r="L504" s="16" t="s">
        <v>20</v>
      </c>
      <c r="M504" s="16" t="s">
        <v>2576</v>
      </c>
      <c r="N504" s="16" t="s">
        <v>2577</v>
      </c>
    </row>
    <row r="505" spans="1:14" ht="20.100000000000001" customHeight="1" x14ac:dyDescent="0.25">
      <c r="A505" s="15" t="s">
        <v>2578</v>
      </c>
      <c r="B505" s="16" t="s">
        <v>1244</v>
      </c>
      <c r="C505" s="15">
        <v>8100504</v>
      </c>
      <c r="D505" s="16" t="s">
        <v>210</v>
      </c>
      <c r="E505" s="15" t="s">
        <v>2579</v>
      </c>
      <c r="F505" s="21" t="str">
        <f>HYPERLINK("https://psearch.kitsapgov.com/webappa/index.html?parcelID=2132975&amp;Theme=Imagery","2132975")</f>
        <v>2132975</v>
      </c>
      <c r="G505" s="16" t="s">
        <v>2580</v>
      </c>
      <c r="H505" s="17">
        <v>44678</v>
      </c>
      <c r="I505" s="18">
        <v>600000</v>
      </c>
      <c r="J505" s="19">
        <v>0.31</v>
      </c>
      <c r="K505" s="16" t="s">
        <v>37</v>
      </c>
      <c r="L505" s="16" t="s">
        <v>20</v>
      </c>
      <c r="M505" s="16" t="s">
        <v>2581</v>
      </c>
      <c r="N505" s="16" t="s">
        <v>2582</v>
      </c>
    </row>
    <row r="506" spans="1:14" ht="20.100000000000001" customHeight="1" x14ac:dyDescent="0.25">
      <c r="A506" s="15" t="s">
        <v>2583</v>
      </c>
      <c r="B506" s="16" t="s">
        <v>2584</v>
      </c>
      <c r="C506" s="15">
        <v>8400204</v>
      </c>
      <c r="D506" s="16" t="s">
        <v>194</v>
      </c>
      <c r="E506" s="15" t="s">
        <v>2585</v>
      </c>
      <c r="F506" s="21" t="str">
        <f>HYPERLINK("https://psearch.kitsapgov.com/webappa/index.html?parcelID=2646412&amp;Theme=Imagery","2646412")</f>
        <v>2646412</v>
      </c>
      <c r="G506" s="16" t="s">
        <v>2586</v>
      </c>
      <c r="H506" s="17">
        <v>44670</v>
      </c>
      <c r="I506" s="18">
        <v>550000</v>
      </c>
      <c r="J506" s="19">
        <v>4.76</v>
      </c>
      <c r="K506" s="16" t="s">
        <v>343</v>
      </c>
      <c r="L506" s="16" t="s">
        <v>2587</v>
      </c>
      <c r="M506" s="16" t="s">
        <v>2588</v>
      </c>
      <c r="N506" s="16" t="s">
        <v>2589</v>
      </c>
    </row>
    <row r="507" spans="1:14" ht="20.100000000000001" customHeight="1" x14ac:dyDescent="0.25">
      <c r="A507" s="15" t="s">
        <v>2590</v>
      </c>
      <c r="B507" s="16" t="s">
        <v>324</v>
      </c>
      <c r="C507" s="15">
        <v>8401508</v>
      </c>
      <c r="D507" s="16" t="s">
        <v>1341</v>
      </c>
      <c r="E507" s="15" t="s">
        <v>2591</v>
      </c>
      <c r="F507" s="21" t="str">
        <f>HYPERLINK("https://psearch.kitsapgov.com/webappa/index.html?parcelID=2311991&amp;Theme=Imagery","2311991")</f>
        <v>2311991</v>
      </c>
      <c r="G507" s="16" t="s">
        <v>2592</v>
      </c>
      <c r="H507" s="17">
        <v>44684</v>
      </c>
      <c r="I507" s="18">
        <v>1100000</v>
      </c>
      <c r="J507" s="19">
        <v>1.32</v>
      </c>
      <c r="K507" s="16" t="s">
        <v>37</v>
      </c>
      <c r="L507" s="16" t="s">
        <v>20</v>
      </c>
      <c r="M507" s="16" t="s">
        <v>2593</v>
      </c>
      <c r="N507" s="16" t="s">
        <v>2594</v>
      </c>
    </row>
    <row r="508" spans="1:14" ht="20.100000000000001" customHeight="1" x14ac:dyDescent="0.25">
      <c r="A508" s="15" t="s">
        <v>2595</v>
      </c>
      <c r="B508" s="16" t="s">
        <v>159</v>
      </c>
      <c r="C508" s="15">
        <v>8100502</v>
      </c>
      <c r="D508" s="16" t="s">
        <v>142</v>
      </c>
      <c r="E508" s="15" t="s">
        <v>2596</v>
      </c>
      <c r="F508" s="21" t="str">
        <f>HYPERLINK("https://psearch.kitsapgov.com/webappa/index.html?parcelID=2416030&amp;Theme=Imagery","2416030")</f>
        <v>2416030</v>
      </c>
      <c r="G508" s="16" t="s">
        <v>2597</v>
      </c>
      <c r="H508" s="17">
        <v>44659</v>
      </c>
      <c r="I508" s="18">
        <v>1600000</v>
      </c>
      <c r="J508" s="19">
        <v>0.66</v>
      </c>
      <c r="K508" s="16" t="s">
        <v>168</v>
      </c>
      <c r="L508" s="16" t="s">
        <v>20</v>
      </c>
      <c r="M508" s="16" t="s">
        <v>2598</v>
      </c>
      <c r="N508" s="16" t="s">
        <v>2599</v>
      </c>
    </row>
    <row r="509" spans="1:14" ht="20.100000000000001" customHeight="1" x14ac:dyDescent="0.25">
      <c r="A509" s="15" t="s">
        <v>2600</v>
      </c>
      <c r="B509" s="16" t="s">
        <v>159</v>
      </c>
      <c r="C509" s="15">
        <v>8100502</v>
      </c>
      <c r="D509" s="16" t="s">
        <v>142</v>
      </c>
      <c r="E509" s="15" t="s">
        <v>2601</v>
      </c>
      <c r="F509" s="21" t="str">
        <f>HYPERLINK("https://psearch.kitsapgov.com/webappa/index.html?parcelID=2561041&amp;Theme=Imagery","2561041")</f>
        <v>2561041</v>
      </c>
      <c r="G509" s="16" t="s">
        <v>2602</v>
      </c>
      <c r="H509" s="17">
        <v>44671</v>
      </c>
      <c r="I509" s="18">
        <v>732</v>
      </c>
      <c r="J509" s="19">
        <v>0.28999999999999998</v>
      </c>
      <c r="K509" s="16" t="s">
        <v>145</v>
      </c>
      <c r="L509" s="16" t="s">
        <v>631</v>
      </c>
      <c r="M509" s="16" t="s">
        <v>2603</v>
      </c>
      <c r="N509" s="16" t="s">
        <v>2604</v>
      </c>
    </row>
    <row r="510" spans="1:14" ht="20.100000000000001" customHeight="1" x14ac:dyDescent="0.25">
      <c r="A510" s="15" t="s">
        <v>2605</v>
      </c>
      <c r="B510" s="16" t="s">
        <v>209</v>
      </c>
      <c r="C510" s="15">
        <v>8402306</v>
      </c>
      <c r="D510" s="16" t="s">
        <v>621</v>
      </c>
      <c r="E510" s="15" t="s">
        <v>2606</v>
      </c>
      <c r="F510" s="21" t="str">
        <f>HYPERLINK("https://psearch.kitsapgov.com/webappa/index.html?parcelID=1509165&amp;Theme=Imagery","1509165")</f>
        <v>1509165</v>
      </c>
      <c r="G510" s="16" t="s">
        <v>2607</v>
      </c>
      <c r="H510" s="17">
        <v>44692</v>
      </c>
      <c r="I510" s="18">
        <v>2690000</v>
      </c>
      <c r="J510" s="19">
        <v>0.81</v>
      </c>
      <c r="K510" s="16" t="s">
        <v>624</v>
      </c>
      <c r="L510" s="16" t="s">
        <v>20</v>
      </c>
      <c r="M510" s="16" t="s">
        <v>2608</v>
      </c>
      <c r="N510" s="16" t="s">
        <v>2609</v>
      </c>
    </row>
    <row r="511" spans="1:14" ht="20.100000000000001" customHeight="1" x14ac:dyDescent="0.25">
      <c r="A511" s="15" t="s">
        <v>2610</v>
      </c>
      <c r="B511" s="16" t="s">
        <v>24</v>
      </c>
      <c r="C511" s="15">
        <v>8400204</v>
      </c>
      <c r="D511" s="16" t="s">
        <v>194</v>
      </c>
      <c r="E511" s="15" t="s">
        <v>2611</v>
      </c>
      <c r="F511" s="21" t="str">
        <f>HYPERLINK("https://psearch.kitsapgov.com/webappa/index.html?parcelID=1609494&amp;Theme=Imagery","1609494")</f>
        <v>1609494</v>
      </c>
      <c r="G511" s="16" t="s">
        <v>2612</v>
      </c>
      <c r="H511" s="17">
        <v>44692</v>
      </c>
      <c r="I511" s="18">
        <v>1365000</v>
      </c>
      <c r="J511" s="19">
        <v>0.4</v>
      </c>
      <c r="K511" s="16" t="s">
        <v>2613</v>
      </c>
      <c r="L511" s="16" t="s">
        <v>20</v>
      </c>
      <c r="M511" s="16" t="s">
        <v>2614</v>
      </c>
      <c r="N511" s="16" t="s">
        <v>2615</v>
      </c>
    </row>
    <row r="512" spans="1:14" ht="20.100000000000001" customHeight="1" x14ac:dyDescent="0.25">
      <c r="A512" s="15" t="s">
        <v>2616</v>
      </c>
      <c r="B512" s="16" t="s">
        <v>130</v>
      </c>
      <c r="C512" s="15">
        <v>8401104</v>
      </c>
      <c r="D512" s="16" t="s">
        <v>241</v>
      </c>
      <c r="E512" s="15" t="s">
        <v>2617</v>
      </c>
      <c r="F512" s="21" t="str">
        <f>HYPERLINK("https://psearch.kitsapgov.com/webappa/index.html?parcelID=1241736&amp;Theme=Imagery","1241736")</f>
        <v>1241736</v>
      </c>
      <c r="G512" s="16" t="s">
        <v>2618</v>
      </c>
      <c r="H512" s="17">
        <v>44690</v>
      </c>
      <c r="I512" s="18">
        <v>1600</v>
      </c>
      <c r="J512" s="19">
        <v>0.69</v>
      </c>
      <c r="K512" s="16" t="s">
        <v>37</v>
      </c>
      <c r="L512" s="16" t="s">
        <v>232</v>
      </c>
      <c r="M512" s="16" t="s">
        <v>2619</v>
      </c>
      <c r="N512" s="16" t="s">
        <v>801</v>
      </c>
    </row>
    <row r="513" spans="1:14" ht="20.100000000000001" customHeight="1" x14ac:dyDescent="0.25">
      <c r="A513" s="15" t="s">
        <v>2620</v>
      </c>
      <c r="B513" s="16" t="s">
        <v>70</v>
      </c>
      <c r="C513" s="15">
        <v>8402405</v>
      </c>
      <c r="D513" s="16" t="s">
        <v>71</v>
      </c>
      <c r="E513" s="15" t="s">
        <v>2621</v>
      </c>
      <c r="F513" s="21" t="str">
        <f>HYPERLINK("https://psearch.kitsapgov.com/webappa/index.html?parcelID=1915123&amp;Theme=Imagery","1915123")</f>
        <v>1915123</v>
      </c>
      <c r="G513" s="16" t="s">
        <v>2622</v>
      </c>
      <c r="H513" s="17">
        <v>44692</v>
      </c>
      <c r="I513" s="18">
        <v>425000</v>
      </c>
      <c r="J513" s="19">
        <v>1.7</v>
      </c>
      <c r="K513" s="16" t="s">
        <v>492</v>
      </c>
      <c r="L513" s="16" t="s">
        <v>20</v>
      </c>
      <c r="M513" s="16" t="s">
        <v>2623</v>
      </c>
      <c r="N513" s="16" t="s">
        <v>2624</v>
      </c>
    </row>
    <row r="514" spans="1:14" ht="20.100000000000001" customHeight="1" x14ac:dyDescent="0.25">
      <c r="A514" s="15" t="s">
        <v>2625</v>
      </c>
      <c r="B514" s="16" t="s">
        <v>105</v>
      </c>
      <c r="C514" s="15">
        <v>8400204</v>
      </c>
      <c r="D514" s="16" t="s">
        <v>194</v>
      </c>
      <c r="E514" s="15" t="s">
        <v>2626</v>
      </c>
      <c r="F514" s="21" t="str">
        <f>HYPERLINK("https://psearch.kitsapgov.com/webappa/index.html?parcelID=2646370&amp;Theme=Imagery","2646370")</f>
        <v>2646370</v>
      </c>
      <c r="G514" s="16" t="s">
        <v>2627</v>
      </c>
      <c r="H514" s="17">
        <v>44691</v>
      </c>
      <c r="I514" s="18">
        <v>311412</v>
      </c>
      <c r="J514" s="19">
        <v>3.17</v>
      </c>
      <c r="K514" s="16" t="s">
        <v>343</v>
      </c>
      <c r="L514" s="16" t="s">
        <v>2587</v>
      </c>
      <c r="M514" s="16" t="s">
        <v>2588</v>
      </c>
      <c r="N514" s="16" t="s">
        <v>2628</v>
      </c>
    </row>
    <row r="515" spans="1:14" ht="20.100000000000001" customHeight="1" x14ac:dyDescent="0.25">
      <c r="A515" s="15" t="s">
        <v>2629</v>
      </c>
      <c r="B515" s="16" t="s">
        <v>533</v>
      </c>
      <c r="C515" s="15">
        <v>9100521</v>
      </c>
      <c r="D515" s="16" t="s">
        <v>1256</v>
      </c>
      <c r="E515" s="15" t="s">
        <v>2630</v>
      </c>
      <c r="F515" s="21" t="str">
        <f>HYPERLINK("https://psearch.kitsapgov.com/webappa/index.html?parcelID=1139120&amp;Theme=Imagery","1139120")</f>
        <v>1139120</v>
      </c>
      <c r="G515" s="16" t="s">
        <v>2631</v>
      </c>
      <c r="H515" s="17">
        <v>44701</v>
      </c>
      <c r="I515" s="18">
        <v>1365000</v>
      </c>
      <c r="J515" s="19">
        <v>0.21</v>
      </c>
      <c r="K515" s="16" t="s">
        <v>863</v>
      </c>
      <c r="L515" s="16" t="s">
        <v>94</v>
      </c>
      <c r="M515" s="16" t="s">
        <v>2632</v>
      </c>
      <c r="N515" s="16" t="s">
        <v>2633</v>
      </c>
    </row>
    <row r="516" spans="1:14" ht="20.100000000000001" customHeight="1" x14ac:dyDescent="0.25">
      <c r="A516" s="15" t="s">
        <v>2634</v>
      </c>
      <c r="B516" s="16" t="s">
        <v>1759</v>
      </c>
      <c r="C516" s="15">
        <v>8401102</v>
      </c>
      <c r="D516" s="16" t="s">
        <v>17</v>
      </c>
      <c r="E516" s="15" t="s">
        <v>2635</v>
      </c>
      <c r="F516" s="21" t="str">
        <f>HYPERLINK("https://psearch.kitsapgov.com/webappa/index.html?parcelID=1886712&amp;Theme=Imagery","1886712")</f>
        <v>1886712</v>
      </c>
      <c r="G516" s="16" t="s">
        <v>2636</v>
      </c>
      <c r="H516" s="17">
        <v>44706</v>
      </c>
      <c r="I516" s="18">
        <v>299000</v>
      </c>
      <c r="J516" s="19">
        <v>0</v>
      </c>
      <c r="K516" s="16" t="s">
        <v>308</v>
      </c>
      <c r="L516" s="16" t="s">
        <v>20</v>
      </c>
      <c r="M516" s="16" t="s">
        <v>2637</v>
      </c>
      <c r="N516" s="16" t="s">
        <v>2638</v>
      </c>
    </row>
    <row r="517" spans="1:14" ht="20.100000000000001" customHeight="1" x14ac:dyDescent="0.25">
      <c r="A517" s="15" t="s">
        <v>2639</v>
      </c>
      <c r="B517" s="16" t="s">
        <v>78</v>
      </c>
      <c r="C517" s="15">
        <v>8401101</v>
      </c>
      <c r="D517" s="16" t="s">
        <v>305</v>
      </c>
      <c r="E517" s="15" t="s">
        <v>2640</v>
      </c>
      <c r="F517" s="21" t="str">
        <f>HYPERLINK("https://psearch.kitsapgov.com/webappa/index.html?parcelID=1250042&amp;Theme=Imagery","1250042")</f>
        <v>1250042</v>
      </c>
      <c r="G517" s="16" t="s">
        <v>2641</v>
      </c>
      <c r="H517" s="17">
        <v>44706</v>
      </c>
      <c r="I517" s="18">
        <v>558000</v>
      </c>
      <c r="J517" s="19">
        <v>0.66</v>
      </c>
      <c r="K517" s="16" t="s">
        <v>308</v>
      </c>
      <c r="L517" s="16" t="s">
        <v>20</v>
      </c>
      <c r="M517" s="16" t="s">
        <v>2642</v>
      </c>
      <c r="N517" s="16" t="s">
        <v>2643</v>
      </c>
    </row>
    <row r="518" spans="1:14" ht="20.100000000000001" customHeight="1" x14ac:dyDescent="0.25">
      <c r="A518" s="15" t="s">
        <v>2644</v>
      </c>
      <c r="B518" s="16" t="s">
        <v>62</v>
      </c>
      <c r="C518" s="15">
        <v>8401508</v>
      </c>
      <c r="D518" s="16" t="s">
        <v>1341</v>
      </c>
      <c r="E518" s="15" t="s">
        <v>2645</v>
      </c>
      <c r="F518" s="21" t="str">
        <f>HYPERLINK("https://psearch.kitsapgov.com/webappa/index.html?parcelID=2294205&amp;Theme=Imagery","2294205")</f>
        <v>2294205</v>
      </c>
      <c r="G518" s="16" t="s">
        <v>2646</v>
      </c>
      <c r="H518" s="17">
        <v>44684</v>
      </c>
      <c r="I518" s="18">
        <v>720000</v>
      </c>
      <c r="J518" s="19">
        <v>0.48</v>
      </c>
      <c r="K518" s="16" t="s">
        <v>37</v>
      </c>
      <c r="L518" s="16" t="s">
        <v>20</v>
      </c>
      <c r="M518" s="16" t="s">
        <v>2647</v>
      </c>
      <c r="N518" s="16" t="s">
        <v>2648</v>
      </c>
    </row>
    <row r="519" spans="1:14" ht="20.100000000000001" customHeight="1" x14ac:dyDescent="0.25">
      <c r="A519" s="15" t="s">
        <v>2649</v>
      </c>
      <c r="B519" s="16" t="s">
        <v>185</v>
      </c>
      <c r="C519" s="15">
        <v>9402395</v>
      </c>
      <c r="D519" s="16" t="s">
        <v>1216</v>
      </c>
      <c r="E519" s="15" t="s">
        <v>2650</v>
      </c>
      <c r="F519" s="21" t="str">
        <f>HYPERLINK("https://psearch.kitsapgov.com/webappa/index.html?parcelID=1501949&amp;Theme=Imagery","1501949")</f>
        <v>1501949</v>
      </c>
      <c r="G519" s="16" t="s">
        <v>2651</v>
      </c>
      <c r="H519" s="17">
        <v>44707</v>
      </c>
      <c r="I519" s="18">
        <v>658000</v>
      </c>
      <c r="J519" s="19">
        <v>0.28999999999999998</v>
      </c>
      <c r="K519" s="16" t="s">
        <v>874</v>
      </c>
      <c r="L519" s="16" t="s">
        <v>20</v>
      </c>
      <c r="M519" s="16" t="s">
        <v>2652</v>
      </c>
      <c r="N519" s="16" t="s">
        <v>2653</v>
      </c>
    </row>
    <row r="520" spans="1:14" ht="20.100000000000001" customHeight="1" x14ac:dyDescent="0.25">
      <c r="A520" s="15" t="s">
        <v>2654</v>
      </c>
      <c r="B520" s="16" t="s">
        <v>560</v>
      </c>
      <c r="C520" s="15">
        <v>8402405</v>
      </c>
      <c r="D520" s="16" t="s">
        <v>71</v>
      </c>
      <c r="E520" s="15" t="s">
        <v>2655</v>
      </c>
      <c r="F520" s="21" t="str">
        <f>HYPERLINK("https://psearch.kitsapgov.com/webappa/index.html?parcelID=2288868&amp;Theme=Imagery","2288868")</f>
        <v>2288868</v>
      </c>
      <c r="G520" s="16" t="s">
        <v>2656</v>
      </c>
      <c r="H520" s="17">
        <v>44708</v>
      </c>
      <c r="I520" s="18">
        <v>40000</v>
      </c>
      <c r="J520" s="19">
        <v>0</v>
      </c>
      <c r="L520" s="16" t="s">
        <v>944</v>
      </c>
      <c r="M520" s="16" t="s">
        <v>2657</v>
      </c>
      <c r="N520" s="16" t="s">
        <v>2658</v>
      </c>
    </row>
    <row r="521" spans="1:14" ht="20.100000000000001" customHeight="1" x14ac:dyDescent="0.25">
      <c r="A521" s="15" t="s">
        <v>2659</v>
      </c>
      <c r="B521" s="16" t="s">
        <v>209</v>
      </c>
      <c r="C521" s="15">
        <v>8402306</v>
      </c>
      <c r="D521" s="16" t="s">
        <v>621</v>
      </c>
      <c r="E521" s="15" t="s">
        <v>2660</v>
      </c>
      <c r="F521" s="21" t="str">
        <f>HYPERLINK("https://psearch.kitsapgov.com/webappa/index.html?parcelID=1161405&amp;Theme=Imagery","1161405")</f>
        <v>1161405</v>
      </c>
      <c r="G521" s="16" t="s">
        <v>2661</v>
      </c>
      <c r="H521" s="17">
        <v>44706</v>
      </c>
      <c r="I521" s="18">
        <v>300000</v>
      </c>
      <c r="J521" s="19">
        <v>0.25</v>
      </c>
      <c r="K521" s="16" t="s">
        <v>515</v>
      </c>
      <c r="L521" s="16" t="s">
        <v>29</v>
      </c>
      <c r="M521" s="16" t="s">
        <v>2662</v>
      </c>
      <c r="N521" s="16" t="s">
        <v>2663</v>
      </c>
    </row>
    <row r="522" spans="1:14" ht="20.100000000000001" customHeight="1" x14ac:dyDescent="0.25">
      <c r="A522" s="15" t="s">
        <v>2664</v>
      </c>
      <c r="B522" s="16" t="s">
        <v>70</v>
      </c>
      <c r="C522" s="15">
        <v>8402405</v>
      </c>
      <c r="D522" s="16" t="s">
        <v>71</v>
      </c>
      <c r="E522" s="15" t="s">
        <v>120</v>
      </c>
      <c r="F522" s="21" t="str">
        <f>HYPERLINK("https://psearch.kitsapgov.com/webappa/index.html?parcelID=1211309&amp;Theme=Imagery","1211309")</f>
        <v>1211309</v>
      </c>
      <c r="G522" s="16" t="s">
        <v>121</v>
      </c>
      <c r="H522" s="17">
        <v>44711</v>
      </c>
      <c r="I522" s="18">
        <v>375000</v>
      </c>
      <c r="J522" s="19">
        <v>1.58</v>
      </c>
      <c r="K522" s="16" t="s">
        <v>82</v>
      </c>
      <c r="L522" s="16" t="s">
        <v>20</v>
      </c>
      <c r="M522" s="16" t="s">
        <v>123</v>
      </c>
      <c r="N522" s="16" t="s">
        <v>2665</v>
      </c>
    </row>
    <row r="523" spans="1:14" ht="20.100000000000001" customHeight="1" x14ac:dyDescent="0.25">
      <c r="A523" s="15" t="s">
        <v>2666</v>
      </c>
      <c r="B523" s="16" t="s">
        <v>159</v>
      </c>
      <c r="C523" s="15">
        <v>8402307</v>
      </c>
      <c r="D523" s="16" t="s">
        <v>131</v>
      </c>
      <c r="E523" s="15" t="s">
        <v>2667</v>
      </c>
      <c r="F523" s="21" t="str">
        <f>HYPERLINK("https://psearch.kitsapgov.com/webappa/index.html?parcelID=2351963&amp;Theme=Imagery","2351963")</f>
        <v>2351963</v>
      </c>
      <c r="G523" s="16" t="s">
        <v>2668</v>
      </c>
      <c r="H523" s="17">
        <v>44706</v>
      </c>
      <c r="I523" s="18">
        <v>20000</v>
      </c>
      <c r="J523" s="19">
        <v>4.1900000000000004</v>
      </c>
      <c r="K523" s="16" t="s">
        <v>368</v>
      </c>
      <c r="L523" s="16" t="s">
        <v>38</v>
      </c>
      <c r="M523" s="16" t="s">
        <v>2669</v>
      </c>
      <c r="N523" s="16" t="s">
        <v>2670</v>
      </c>
    </row>
    <row r="524" spans="1:14" ht="20.100000000000001" customHeight="1" x14ac:dyDescent="0.25">
      <c r="A524" s="15" t="s">
        <v>2671</v>
      </c>
      <c r="B524" s="16" t="s">
        <v>159</v>
      </c>
      <c r="C524" s="15">
        <v>8402307</v>
      </c>
      <c r="D524" s="16" t="s">
        <v>131</v>
      </c>
      <c r="E524" s="15" t="s">
        <v>2672</v>
      </c>
      <c r="F524" s="21" t="str">
        <f>HYPERLINK("https://psearch.kitsapgov.com/webappa/index.html?parcelID=2351955&amp;Theme=Imagery","2351955")</f>
        <v>2351955</v>
      </c>
      <c r="G524" s="16" t="s">
        <v>2673</v>
      </c>
      <c r="H524" s="17">
        <v>44706</v>
      </c>
      <c r="I524" s="18">
        <v>5780000</v>
      </c>
      <c r="J524" s="19">
        <v>3.48</v>
      </c>
      <c r="K524" s="16" t="s">
        <v>368</v>
      </c>
      <c r="L524" s="16" t="s">
        <v>20</v>
      </c>
      <c r="M524" s="16" t="s">
        <v>2669</v>
      </c>
      <c r="N524" s="16" t="s">
        <v>2670</v>
      </c>
    </row>
    <row r="525" spans="1:14" ht="20.100000000000001" customHeight="1" x14ac:dyDescent="0.25">
      <c r="A525" s="15" t="s">
        <v>2674</v>
      </c>
      <c r="B525" s="16" t="s">
        <v>98</v>
      </c>
      <c r="C525" s="15">
        <v>8303660</v>
      </c>
      <c r="D525" s="16" t="s">
        <v>252</v>
      </c>
      <c r="E525" s="15" t="s">
        <v>2675</v>
      </c>
      <c r="F525" s="21" t="str">
        <f>HYPERLINK("https://psearch.kitsapgov.com/webappa/index.html?parcelID=1882265&amp;Theme=Imagery","1882265")</f>
        <v>1882265</v>
      </c>
      <c r="G525" s="16" t="s">
        <v>2676</v>
      </c>
      <c r="H525" s="17">
        <v>44712</v>
      </c>
      <c r="I525" s="18">
        <v>180000</v>
      </c>
      <c r="J525" s="19">
        <v>0</v>
      </c>
      <c r="L525" s="16" t="s">
        <v>944</v>
      </c>
      <c r="M525" s="16" t="s">
        <v>2677</v>
      </c>
      <c r="N525" s="16" t="s">
        <v>2678</v>
      </c>
    </row>
    <row r="526" spans="1:14" ht="20.100000000000001" customHeight="1" x14ac:dyDescent="0.25">
      <c r="A526" s="15" t="s">
        <v>2679</v>
      </c>
      <c r="B526" s="16" t="s">
        <v>98</v>
      </c>
      <c r="C526" s="15">
        <v>8303660</v>
      </c>
      <c r="D526" s="16" t="s">
        <v>252</v>
      </c>
      <c r="E526" s="15" t="s">
        <v>2680</v>
      </c>
      <c r="F526" s="21" t="str">
        <f>HYPERLINK("https://psearch.kitsapgov.com/webappa/index.html?parcelID=1881903&amp;Theme=Imagery","1881903")</f>
        <v>1881903</v>
      </c>
      <c r="G526" s="16" t="s">
        <v>2681</v>
      </c>
      <c r="H526" s="17">
        <v>44719</v>
      </c>
      <c r="I526" s="18">
        <v>221950</v>
      </c>
      <c r="J526" s="19">
        <v>0</v>
      </c>
      <c r="L526" s="16" t="s">
        <v>944</v>
      </c>
      <c r="M526" s="16" t="s">
        <v>2682</v>
      </c>
      <c r="N526" s="16" t="s">
        <v>2683</v>
      </c>
    </row>
    <row r="527" spans="1:14" ht="20.100000000000001" customHeight="1" x14ac:dyDescent="0.25">
      <c r="A527" s="15" t="s">
        <v>2684</v>
      </c>
      <c r="B527" s="16" t="s">
        <v>105</v>
      </c>
      <c r="C527" s="15">
        <v>8100502</v>
      </c>
      <c r="D527" s="16" t="s">
        <v>142</v>
      </c>
      <c r="E527" s="15" t="s">
        <v>1292</v>
      </c>
      <c r="F527" s="21" t="str">
        <f>HYPERLINK("https://psearch.kitsapgov.com/webappa/index.html?parcelID=2640514&amp;Theme=Imagery","2640514")</f>
        <v>2640514</v>
      </c>
      <c r="G527" s="16" t="s">
        <v>1293</v>
      </c>
      <c r="H527" s="17">
        <v>44706</v>
      </c>
      <c r="I527" s="18">
        <v>78067</v>
      </c>
      <c r="J527" s="19">
        <v>0.16</v>
      </c>
      <c r="K527" s="16" t="s">
        <v>168</v>
      </c>
      <c r="L527" s="16" t="s">
        <v>94</v>
      </c>
      <c r="M527" s="16" t="s">
        <v>1295</v>
      </c>
      <c r="N527" s="16" t="s">
        <v>2685</v>
      </c>
    </row>
    <row r="528" spans="1:14" ht="20.100000000000001" customHeight="1" x14ac:dyDescent="0.25">
      <c r="A528" s="15" t="s">
        <v>2686</v>
      </c>
      <c r="B528" s="16" t="s">
        <v>78</v>
      </c>
      <c r="C528" s="15">
        <v>8400203</v>
      </c>
      <c r="D528" s="16" t="s">
        <v>353</v>
      </c>
      <c r="E528" s="15" t="s">
        <v>2687</v>
      </c>
      <c r="F528" s="21" t="str">
        <f>HYPERLINK("https://psearch.kitsapgov.com/webappa/index.html?parcelID=1335025&amp;Theme=Imagery","1335025")</f>
        <v>1335025</v>
      </c>
      <c r="G528" s="16" t="s">
        <v>2688</v>
      </c>
      <c r="H528" s="17">
        <v>44714</v>
      </c>
      <c r="I528" s="18">
        <v>485000</v>
      </c>
      <c r="J528" s="19">
        <v>0.18</v>
      </c>
      <c r="K528" s="16" t="s">
        <v>356</v>
      </c>
      <c r="L528" s="16" t="s">
        <v>20</v>
      </c>
      <c r="M528" s="16" t="s">
        <v>2689</v>
      </c>
      <c r="N528" s="16" t="s">
        <v>2690</v>
      </c>
    </row>
    <row r="529" spans="1:14" ht="20.100000000000001" customHeight="1" x14ac:dyDescent="0.25">
      <c r="A529" s="15" t="s">
        <v>2691</v>
      </c>
      <c r="B529" s="16" t="s">
        <v>24</v>
      </c>
      <c r="C529" s="15">
        <v>8401102</v>
      </c>
      <c r="D529" s="16" t="s">
        <v>17</v>
      </c>
      <c r="E529" s="15" t="s">
        <v>2692</v>
      </c>
      <c r="F529" s="21" t="str">
        <f>HYPERLINK("https://psearch.kitsapgov.com/webappa/index.html?parcelID=1658863&amp;Theme=Imagery","1658863")</f>
        <v>1658863</v>
      </c>
      <c r="G529" s="16" t="s">
        <v>2693</v>
      </c>
      <c r="H529" s="17">
        <v>44718</v>
      </c>
      <c r="I529" s="18">
        <v>850000</v>
      </c>
      <c r="J529" s="19">
        <v>0.6</v>
      </c>
      <c r="K529" s="16" t="s">
        <v>308</v>
      </c>
      <c r="L529" s="16" t="s">
        <v>20</v>
      </c>
      <c r="M529" s="16" t="s">
        <v>2694</v>
      </c>
      <c r="N529" s="16" t="s">
        <v>2546</v>
      </c>
    </row>
    <row r="530" spans="1:14" ht="20.100000000000001" customHeight="1" x14ac:dyDescent="0.25">
      <c r="A530" s="15" t="s">
        <v>2695</v>
      </c>
      <c r="B530" s="16" t="s">
        <v>533</v>
      </c>
      <c r="C530" s="15">
        <v>9100592</v>
      </c>
      <c r="D530" s="16" t="s">
        <v>916</v>
      </c>
      <c r="E530" s="15" t="s">
        <v>2696</v>
      </c>
      <c r="F530" s="21" t="str">
        <f>HYPERLINK("https://psearch.kitsapgov.com/webappa/index.html?parcelID=1184498&amp;Theme=Imagery","1184498")</f>
        <v>1184498</v>
      </c>
      <c r="G530" s="16" t="s">
        <v>2697</v>
      </c>
      <c r="H530" s="17">
        <v>44697</v>
      </c>
      <c r="I530" s="18">
        <v>1200000</v>
      </c>
      <c r="J530" s="19">
        <v>0.36</v>
      </c>
      <c r="K530" s="16" t="s">
        <v>176</v>
      </c>
      <c r="L530" s="16" t="s">
        <v>20</v>
      </c>
      <c r="M530" s="16" t="s">
        <v>2698</v>
      </c>
      <c r="N530" s="16" t="s">
        <v>2699</v>
      </c>
    </row>
    <row r="531" spans="1:14" ht="20.100000000000001" customHeight="1" x14ac:dyDescent="0.25">
      <c r="A531" s="15" t="s">
        <v>2700</v>
      </c>
      <c r="B531" s="16" t="s">
        <v>78</v>
      </c>
      <c r="C531" s="15">
        <v>8400201</v>
      </c>
      <c r="D531" s="16" t="s">
        <v>496</v>
      </c>
      <c r="E531" s="15" t="s">
        <v>2701</v>
      </c>
      <c r="F531" s="21" t="str">
        <f>HYPERLINK("https://psearch.kitsapgov.com/webappa/index.html?parcelID=1342575&amp;Theme=Imagery","1342575")</f>
        <v>1342575</v>
      </c>
      <c r="G531" s="16" t="s">
        <v>2702</v>
      </c>
      <c r="H531" s="17">
        <v>44721</v>
      </c>
      <c r="I531" s="18">
        <v>456500</v>
      </c>
      <c r="J531" s="19">
        <v>0.25</v>
      </c>
      <c r="K531" s="16" t="s">
        <v>443</v>
      </c>
      <c r="L531" s="16" t="s">
        <v>20</v>
      </c>
      <c r="M531" s="16" t="s">
        <v>2703</v>
      </c>
      <c r="N531" s="16" t="s">
        <v>2704</v>
      </c>
    </row>
    <row r="532" spans="1:14" ht="20.100000000000001" customHeight="1" x14ac:dyDescent="0.25">
      <c r="A532" s="15" t="s">
        <v>2705</v>
      </c>
      <c r="B532" s="16" t="s">
        <v>285</v>
      </c>
      <c r="C532" s="15">
        <v>8100506</v>
      </c>
      <c r="D532" s="16" t="s">
        <v>286</v>
      </c>
      <c r="E532" s="15" t="s">
        <v>1470</v>
      </c>
      <c r="F532" s="21" t="str">
        <f>HYPERLINK("https://psearch.kitsapgov.com/webappa/index.html?parcelID=1493790&amp;Theme=Imagery","1493790")</f>
        <v>1493790</v>
      </c>
      <c r="G532" s="16" t="s">
        <v>1471</v>
      </c>
      <c r="H532" s="17">
        <v>44730</v>
      </c>
      <c r="I532" s="18">
        <v>3600000</v>
      </c>
      <c r="J532" s="19">
        <v>0.85</v>
      </c>
      <c r="K532" s="16" t="s">
        <v>168</v>
      </c>
      <c r="L532" s="16" t="s">
        <v>20</v>
      </c>
      <c r="M532" s="16" t="s">
        <v>1480</v>
      </c>
      <c r="N532" s="16" t="s">
        <v>2706</v>
      </c>
    </row>
    <row r="533" spans="1:14" ht="20.100000000000001" customHeight="1" x14ac:dyDescent="0.25">
      <c r="A533" s="15" t="s">
        <v>2707</v>
      </c>
      <c r="B533" s="16" t="s">
        <v>159</v>
      </c>
      <c r="C533" s="15">
        <v>8100502</v>
      </c>
      <c r="D533" s="16" t="s">
        <v>142</v>
      </c>
      <c r="E533" s="15" t="s">
        <v>2708</v>
      </c>
      <c r="F533" s="21" t="str">
        <f>HYPERLINK("https://psearch.kitsapgov.com/webappa/index.html?parcelID=1917509&amp;Theme=Imagery","1917509")</f>
        <v>1917509</v>
      </c>
      <c r="G533" s="16" t="s">
        <v>2709</v>
      </c>
      <c r="H533" s="17">
        <v>44725</v>
      </c>
      <c r="I533" s="18">
        <v>170000</v>
      </c>
      <c r="J533" s="19">
        <v>0.25</v>
      </c>
      <c r="K533" s="16" t="s">
        <v>980</v>
      </c>
      <c r="L533" s="16" t="s">
        <v>20</v>
      </c>
      <c r="M533" s="16" t="s">
        <v>2710</v>
      </c>
      <c r="N533" s="16" t="s">
        <v>2711</v>
      </c>
    </row>
    <row r="534" spans="1:14" ht="20.100000000000001" customHeight="1" x14ac:dyDescent="0.25">
      <c r="A534" s="15" t="s">
        <v>2712</v>
      </c>
      <c r="B534" s="16" t="s">
        <v>324</v>
      </c>
      <c r="C534" s="15">
        <v>8402306</v>
      </c>
      <c r="D534" s="16" t="s">
        <v>621</v>
      </c>
      <c r="E534" s="15" t="s">
        <v>2713</v>
      </c>
      <c r="F534" s="21" t="str">
        <f>HYPERLINK("https://psearch.kitsapgov.com/webappa/index.html?parcelID=1501287&amp;Theme=Imagery","1501287")</f>
        <v>1501287</v>
      </c>
      <c r="G534" s="16" t="s">
        <v>2714</v>
      </c>
      <c r="H534" s="17">
        <v>44739</v>
      </c>
      <c r="I534" s="18">
        <v>670000</v>
      </c>
      <c r="J534" s="19">
        <v>0.28000000000000003</v>
      </c>
      <c r="K534" s="16" t="s">
        <v>515</v>
      </c>
      <c r="L534" s="16" t="s">
        <v>20</v>
      </c>
      <c r="M534" s="16" t="s">
        <v>2715</v>
      </c>
      <c r="N534" s="16" t="s">
        <v>2716</v>
      </c>
    </row>
    <row r="535" spans="1:14" ht="20.100000000000001" customHeight="1" x14ac:dyDescent="0.25">
      <c r="A535" s="15" t="s">
        <v>2717</v>
      </c>
      <c r="B535" s="16" t="s">
        <v>105</v>
      </c>
      <c r="C535" s="15">
        <v>8401508</v>
      </c>
      <c r="D535" s="16" t="s">
        <v>1341</v>
      </c>
      <c r="E535" s="15" t="s">
        <v>2718</v>
      </c>
      <c r="F535" s="21" t="str">
        <f>HYPERLINK("https://psearch.kitsapgov.com/webappa/index.html?parcelID=1256403&amp;Theme=Imagery","1256403")</f>
        <v>1256403</v>
      </c>
      <c r="G535" s="16" t="s">
        <v>2719</v>
      </c>
      <c r="H535" s="17">
        <v>44735</v>
      </c>
      <c r="I535" s="18">
        <v>160000</v>
      </c>
      <c r="J535" s="19">
        <v>2.75</v>
      </c>
      <c r="K535" s="16" t="s">
        <v>37</v>
      </c>
      <c r="L535" s="16" t="s">
        <v>213</v>
      </c>
      <c r="M535" s="16" t="s">
        <v>2720</v>
      </c>
      <c r="N535" s="16" t="s">
        <v>2721</v>
      </c>
    </row>
    <row r="536" spans="1:14" ht="20.100000000000001" customHeight="1" x14ac:dyDescent="0.25">
      <c r="A536" s="15" t="s">
        <v>2722</v>
      </c>
      <c r="B536" s="16" t="s">
        <v>1759</v>
      </c>
      <c r="C536" s="15">
        <v>8303601</v>
      </c>
      <c r="D536" s="16" t="s">
        <v>25</v>
      </c>
      <c r="E536" s="15" t="s">
        <v>2723</v>
      </c>
      <c r="F536" s="21" t="str">
        <f>HYPERLINK("https://psearch.kitsapgov.com/webappa/index.html?parcelID=2486686&amp;Theme=Imagery","2486686")</f>
        <v>2486686</v>
      </c>
      <c r="G536" s="16" t="s">
        <v>2724</v>
      </c>
      <c r="H536" s="17">
        <v>44733</v>
      </c>
      <c r="I536" s="18">
        <v>677000</v>
      </c>
      <c r="J536" s="19">
        <v>0</v>
      </c>
      <c r="L536" s="16" t="s">
        <v>20</v>
      </c>
      <c r="M536" s="16" t="s">
        <v>2725</v>
      </c>
      <c r="N536" s="16" t="s">
        <v>2726</v>
      </c>
    </row>
    <row r="537" spans="1:14" ht="20.100000000000001" customHeight="1" x14ac:dyDescent="0.25">
      <c r="A537" s="15" t="s">
        <v>2727</v>
      </c>
      <c r="B537" s="16" t="s">
        <v>42</v>
      </c>
      <c r="C537" s="15">
        <v>9100592</v>
      </c>
      <c r="D537" s="16" t="s">
        <v>916</v>
      </c>
      <c r="E537" s="15" t="s">
        <v>2728</v>
      </c>
      <c r="F537" s="21" t="str">
        <f>HYPERLINK("https://psearch.kitsapgov.com/webappa/index.html?parcelID=1105881&amp;Theme=Imagery","1105881")</f>
        <v>1105881</v>
      </c>
      <c r="G537" s="16" t="s">
        <v>2729</v>
      </c>
      <c r="H537" s="17">
        <v>44728</v>
      </c>
      <c r="I537" s="18">
        <v>1375000</v>
      </c>
      <c r="J537" s="19">
        <v>1.18</v>
      </c>
      <c r="K537" s="16" t="s">
        <v>699</v>
      </c>
      <c r="L537" s="16" t="s">
        <v>38</v>
      </c>
      <c r="M537" s="16" t="s">
        <v>2730</v>
      </c>
      <c r="N537" s="16" t="s">
        <v>2731</v>
      </c>
    </row>
    <row r="538" spans="1:14" ht="20.100000000000001" customHeight="1" x14ac:dyDescent="0.25">
      <c r="A538" s="15" t="s">
        <v>2732</v>
      </c>
      <c r="B538" s="16" t="s">
        <v>70</v>
      </c>
      <c r="C538" s="15">
        <v>8400302</v>
      </c>
      <c r="D538" s="16" t="s">
        <v>397</v>
      </c>
      <c r="E538" s="15" t="s">
        <v>2733</v>
      </c>
      <c r="F538" s="21" t="str">
        <f>HYPERLINK("https://psearch.kitsapgov.com/webappa/index.html?parcelID=2365385&amp;Theme=Imagery","2365385")</f>
        <v>2365385</v>
      </c>
      <c r="G538" s="16" t="s">
        <v>2734</v>
      </c>
      <c r="H538" s="17">
        <v>44748</v>
      </c>
      <c r="I538" s="18">
        <v>1000000</v>
      </c>
      <c r="J538" s="19">
        <v>5.5</v>
      </c>
      <c r="K538" s="16" t="s">
        <v>343</v>
      </c>
      <c r="L538" s="16" t="s">
        <v>20</v>
      </c>
      <c r="M538" s="16" t="s">
        <v>2735</v>
      </c>
      <c r="N538" s="16" t="s">
        <v>2736</v>
      </c>
    </row>
    <row r="539" spans="1:14" ht="20.100000000000001" customHeight="1" x14ac:dyDescent="0.25">
      <c r="A539" s="15" t="s">
        <v>2737</v>
      </c>
      <c r="B539" s="16" t="s">
        <v>70</v>
      </c>
      <c r="C539" s="15">
        <v>8100506</v>
      </c>
      <c r="D539" s="16" t="s">
        <v>286</v>
      </c>
      <c r="E539" s="15" t="s">
        <v>2738</v>
      </c>
      <c r="F539" s="21" t="str">
        <f>HYPERLINK("https://psearch.kitsapgov.com/webappa/index.html?parcelID=2376861&amp;Theme=Imagery","2376861")</f>
        <v>2376861</v>
      </c>
      <c r="G539" s="16" t="s">
        <v>2739</v>
      </c>
      <c r="H539" s="17">
        <v>44749</v>
      </c>
      <c r="I539" s="18">
        <v>850000</v>
      </c>
      <c r="J539" s="19">
        <v>0.83</v>
      </c>
      <c r="K539" s="16" t="s">
        <v>109</v>
      </c>
      <c r="L539" s="16" t="s">
        <v>20</v>
      </c>
      <c r="M539" s="16" t="s">
        <v>2740</v>
      </c>
      <c r="N539" s="16" t="s">
        <v>2741</v>
      </c>
    </row>
    <row r="540" spans="1:14" ht="20.100000000000001" customHeight="1" x14ac:dyDescent="0.25">
      <c r="A540" s="15" t="s">
        <v>2742</v>
      </c>
      <c r="B540" s="16" t="s">
        <v>105</v>
      </c>
      <c r="C540" s="15">
        <v>8401104</v>
      </c>
      <c r="D540" s="16" t="s">
        <v>241</v>
      </c>
      <c r="E540" s="15" t="s">
        <v>2743</v>
      </c>
      <c r="F540" s="21" t="str">
        <f>HYPERLINK("https://psearch.kitsapgov.com/webappa/index.html?parcelID=1243815&amp;Theme=Imagery","1243815")</f>
        <v>1243815</v>
      </c>
      <c r="G540" s="16" t="s">
        <v>2744</v>
      </c>
      <c r="H540" s="17">
        <v>44749</v>
      </c>
      <c r="I540" s="18">
        <v>322500</v>
      </c>
      <c r="J540" s="19">
        <v>4.87</v>
      </c>
      <c r="K540" s="16" t="s">
        <v>492</v>
      </c>
      <c r="L540" s="16" t="s">
        <v>20</v>
      </c>
      <c r="M540" s="16" t="s">
        <v>2745</v>
      </c>
      <c r="N540" s="16" t="s">
        <v>2746</v>
      </c>
    </row>
    <row r="541" spans="1:14" ht="20.100000000000001" customHeight="1" x14ac:dyDescent="0.25">
      <c r="A541" s="15" t="s">
        <v>2747</v>
      </c>
      <c r="B541" s="16" t="s">
        <v>16</v>
      </c>
      <c r="C541" s="15">
        <v>8303601</v>
      </c>
      <c r="D541" s="16" t="s">
        <v>25</v>
      </c>
      <c r="E541" s="15" t="s">
        <v>2748</v>
      </c>
      <c r="F541" s="21" t="str">
        <f>HYPERLINK("https://psearch.kitsapgov.com/webappa/index.html?parcelID=2640068&amp;Theme=Imagery","2640068")</f>
        <v>2640068</v>
      </c>
      <c r="G541" s="16" t="s">
        <v>2749</v>
      </c>
      <c r="H541" s="17">
        <v>44750</v>
      </c>
      <c r="I541" s="18">
        <v>400000</v>
      </c>
      <c r="J541" s="19">
        <v>0</v>
      </c>
      <c r="L541" s="16" t="s">
        <v>20</v>
      </c>
      <c r="M541" s="16" t="s">
        <v>2750</v>
      </c>
      <c r="N541" s="16" t="s">
        <v>417</v>
      </c>
    </row>
    <row r="542" spans="1:14" ht="20.100000000000001" customHeight="1" x14ac:dyDescent="0.25">
      <c r="A542" s="15" t="s">
        <v>2751</v>
      </c>
      <c r="B542" s="16" t="s">
        <v>765</v>
      </c>
      <c r="C542" s="15">
        <v>9100592</v>
      </c>
      <c r="D542" s="16" t="s">
        <v>916</v>
      </c>
      <c r="E542" s="15" t="s">
        <v>2752</v>
      </c>
      <c r="F542" s="21" t="str">
        <f>HYPERLINK("https://psearch.kitsapgov.com/webappa/index.html?parcelID=1486778&amp;Theme=Imagery","1486778")</f>
        <v>1486778</v>
      </c>
      <c r="G542" s="16" t="s">
        <v>2753</v>
      </c>
      <c r="H542" s="17">
        <v>44756</v>
      </c>
      <c r="I542" s="18">
        <v>10500000</v>
      </c>
      <c r="J542" s="19">
        <v>5.0599999999999996</v>
      </c>
      <c r="K542" s="16" t="s">
        <v>912</v>
      </c>
      <c r="L542" s="16" t="s">
        <v>38</v>
      </c>
      <c r="M542" s="16" t="s">
        <v>2754</v>
      </c>
      <c r="N542" s="16" t="s">
        <v>2755</v>
      </c>
    </row>
    <row r="543" spans="1:14" ht="20.100000000000001" customHeight="1" x14ac:dyDescent="0.25">
      <c r="A543" s="15" t="s">
        <v>2756</v>
      </c>
      <c r="B543" s="16" t="s">
        <v>42</v>
      </c>
      <c r="C543" s="15">
        <v>8100505</v>
      </c>
      <c r="D543" s="16" t="s">
        <v>670</v>
      </c>
      <c r="E543" s="15" t="s">
        <v>2757</v>
      </c>
      <c r="F543" s="21" t="str">
        <f>HYPERLINK("https://psearch.kitsapgov.com/webappa/index.html?parcelID=2102929&amp;Theme=Imagery","2102929")</f>
        <v>2102929</v>
      </c>
      <c r="G543" s="16" t="s">
        <v>2758</v>
      </c>
      <c r="H543" s="17">
        <v>44753</v>
      </c>
      <c r="I543" s="18">
        <v>1280000</v>
      </c>
      <c r="J543" s="19">
        <v>0.75</v>
      </c>
      <c r="K543" s="16" t="s">
        <v>673</v>
      </c>
      <c r="L543" s="16" t="s">
        <v>190</v>
      </c>
      <c r="M543" s="16" t="s">
        <v>2759</v>
      </c>
      <c r="N543" s="16" t="s">
        <v>2760</v>
      </c>
    </row>
    <row r="544" spans="1:14" ht="20.100000000000001" customHeight="1" x14ac:dyDescent="0.25">
      <c r="A544" s="15" t="s">
        <v>2761</v>
      </c>
      <c r="B544" s="16" t="s">
        <v>209</v>
      </c>
      <c r="C544" s="15">
        <v>8402306</v>
      </c>
      <c r="D544" s="16" t="s">
        <v>621</v>
      </c>
      <c r="E544" s="15" t="s">
        <v>2762</v>
      </c>
      <c r="F544" s="21" t="str">
        <f>HYPERLINK("https://psearch.kitsapgov.com/webappa/index.html?parcelID=1509108&amp;Theme=Imagery","1509108")</f>
        <v>1509108</v>
      </c>
      <c r="G544" s="16" t="s">
        <v>2763</v>
      </c>
      <c r="H544" s="17">
        <v>44755</v>
      </c>
      <c r="I544" s="18">
        <v>400000</v>
      </c>
      <c r="J544" s="19">
        <v>0.22</v>
      </c>
      <c r="K544" s="16" t="s">
        <v>624</v>
      </c>
      <c r="L544" s="16" t="s">
        <v>20</v>
      </c>
      <c r="M544" s="16" t="s">
        <v>2764</v>
      </c>
      <c r="N544" s="16" t="s">
        <v>2765</v>
      </c>
    </row>
    <row r="545" spans="1:14" ht="20.100000000000001" customHeight="1" x14ac:dyDescent="0.25">
      <c r="A545" s="15" t="s">
        <v>2766</v>
      </c>
      <c r="B545" s="16" t="s">
        <v>78</v>
      </c>
      <c r="C545" s="15">
        <v>8100501</v>
      </c>
      <c r="D545" s="16" t="s">
        <v>63</v>
      </c>
      <c r="E545" s="15" t="s">
        <v>2767</v>
      </c>
      <c r="F545" s="21" t="str">
        <f>HYPERLINK("https://psearch.kitsapgov.com/webappa/index.html?parcelID=1426600&amp;Theme=Imagery","1426600")</f>
        <v>1426600</v>
      </c>
      <c r="G545" s="16" t="s">
        <v>2768</v>
      </c>
      <c r="H545" s="17">
        <v>44760</v>
      </c>
      <c r="I545" s="18">
        <v>700000</v>
      </c>
      <c r="J545" s="19">
        <v>0.14000000000000001</v>
      </c>
      <c r="K545" s="16" t="s">
        <v>93</v>
      </c>
      <c r="L545" s="16" t="s">
        <v>20</v>
      </c>
      <c r="M545" s="16" t="s">
        <v>2769</v>
      </c>
      <c r="N545" s="16" t="s">
        <v>2770</v>
      </c>
    </row>
    <row r="546" spans="1:14" ht="20.100000000000001" customHeight="1" x14ac:dyDescent="0.25">
      <c r="A546" s="15" t="s">
        <v>2771</v>
      </c>
      <c r="B546" s="16" t="s">
        <v>403</v>
      </c>
      <c r="C546" s="15">
        <v>8303601</v>
      </c>
      <c r="D546" s="16" t="s">
        <v>25</v>
      </c>
      <c r="E546" s="15" t="s">
        <v>2772</v>
      </c>
      <c r="F546" s="21" t="str">
        <f>HYPERLINK("https://psearch.kitsapgov.com/webappa/index.html?parcelID=2504694&amp;Theme=Imagery","2504694")</f>
        <v>2504694</v>
      </c>
      <c r="G546" s="16" t="s">
        <v>2773</v>
      </c>
      <c r="H546" s="17">
        <v>44764</v>
      </c>
      <c r="I546" s="18">
        <v>1200000</v>
      </c>
      <c r="J546" s="19">
        <v>0</v>
      </c>
      <c r="L546" s="16" t="s">
        <v>20</v>
      </c>
      <c r="M546" s="16" t="s">
        <v>2774</v>
      </c>
      <c r="N546" s="16" t="s">
        <v>2775</v>
      </c>
    </row>
    <row r="547" spans="1:14" ht="20.100000000000001" customHeight="1" x14ac:dyDescent="0.25">
      <c r="A547" s="15" t="s">
        <v>2776</v>
      </c>
      <c r="B547" s="16" t="s">
        <v>533</v>
      </c>
      <c r="C547" s="15">
        <v>9100541</v>
      </c>
      <c r="D547" s="16" t="s">
        <v>186</v>
      </c>
      <c r="E547" s="15" t="s">
        <v>2777</v>
      </c>
      <c r="F547" s="21" t="str">
        <f>HYPERLINK("https://psearch.kitsapgov.com/webappa/index.html?parcelID=1434240&amp;Theme=Imagery","1434240")</f>
        <v>1434240</v>
      </c>
      <c r="G547" s="16" t="s">
        <v>2778</v>
      </c>
      <c r="H547" s="17">
        <v>44765</v>
      </c>
      <c r="I547" s="18">
        <v>1485000</v>
      </c>
      <c r="J547" s="19">
        <v>0.21</v>
      </c>
      <c r="K547" s="16" t="s">
        <v>377</v>
      </c>
      <c r="L547" s="16" t="s">
        <v>38</v>
      </c>
      <c r="M547" s="16" t="s">
        <v>2779</v>
      </c>
      <c r="N547" s="16" t="s">
        <v>2780</v>
      </c>
    </row>
    <row r="548" spans="1:14" ht="20.100000000000001" customHeight="1" x14ac:dyDescent="0.25">
      <c r="A548" s="15" t="s">
        <v>2781</v>
      </c>
      <c r="B548" s="16" t="s">
        <v>1244</v>
      </c>
      <c r="C548" s="15">
        <v>8100502</v>
      </c>
      <c r="D548" s="16" t="s">
        <v>142</v>
      </c>
      <c r="E548" s="15" t="s">
        <v>2056</v>
      </c>
      <c r="F548" s="21" t="str">
        <f>HYPERLINK("https://psearch.kitsapgov.com/webappa/index.html?parcelID=1144385&amp;Theme=Imagery","1144385")</f>
        <v>1144385</v>
      </c>
      <c r="G548" s="16" t="s">
        <v>2057</v>
      </c>
      <c r="H548" s="17">
        <v>44764</v>
      </c>
      <c r="I548" s="18">
        <v>760000</v>
      </c>
      <c r="J548" s="19">
        <v>0.2</v>
      </c>
      <c r="K548" s="16" t="s">
        <v>980</v>
      </c>
      <c r="L548" s="16" t="s">
        <v>20</v>
      </c>
      <c r="M548" s="16" t="s">
        <v>2059</v>
      </c>
      <c r="N548" s="16" t="s">
        <v>2782</v>
      </c>
    </row>
    <row r="549" spans="1:14" ht="20.100000000000001" customHeight="1" x14ac:dyDescent="0.25">
      <c r="A549" s="15" t="s">
        <v>2783</v>
      </c>
      <c r="B549" s="16" t="s">
        <v>381</v>
      </c>
      <c r="C549" s="15">
        <v>8100506</v>
      </c>
      <c r="D549" s="16" t="s">
        <v>286</v>
      </c>
      <c r="E549" s="15" t="s">
        <v>2784</v>
      </c>
      <c r="F549" s="21" t="str">
        <f>HYPERLINK("https://psearch.kitsapgov.com/webappa/index.html?parcelID=1104579&amp;Theme=Imagery","1104579")</f>
        <v>1104579</v>
      </c>
      <c r="G549" s="16" t="s">
        <v>2785</v>
      </c>
      <c r="H549" s="17">
        <v>44764</v>
      </c>
      <c r="I549" s="18">
        <v>500000</v>
      </c>
      <c r="J549" s="19">
        <v>0.39</v>
      </c>
      <c r="K549" s="16" t="s">
        <v>168</v>
      </c>
      <c r="L549" s="16" t="s">
        <v>38</v>
      </c>
      <c r="M549" s="16" t="s">
        <v>2786</v>
      </c>
      <c r="N549" s="16" t="s">
        <v>2787</v>
      </c>
    </row>
    <row r="550" spans="1:14" ht="20.100000000000001" customHeight="1" x14ac:dyDescent="0.25">
      <c r="A550" s="15" t="s">
        <v>2788</v>
      </c>
      <c r="B550" s="16" t="s">
        <v>381</v>
      </c>
      <c r="C550" s="15">
        <v>8100506</v>
      </c>
      <c r="D550" s="16" t="s">
        <v>286</v>
      </c>
      <c r="E550" s="15" t="s">
        <v>2784</v>
      </c>
      <c r="F550" s="21" t="str">
        <f>HYPERLINK("https://psearch.kitsapgov.com/webappa/index.html?parcelID=1104579&amp;Theme=Imagery","1104579")</f>
        <v>1104579</v>
      </c>
      <c r="G550" s="16" t="s">
        <v>2785</v>
      </c>
      <c r="H550" s="17">
        <v>44764</v>
      </c>
      <c r="I550" s="18">
        <v>620000</v>
      </c>
      <c r="J550" s="19">
        <v>0.39</v>
      </c>
      <c r="K550" s="16" t="s">
        <v>168</v>
      </c>
      <c r="L550" s="16" t="s">
        <v>20</v>
      </c>
      <c r="M550" s="16" t="s">
        <v>2787</v>
      </c>
      <c r="N550" s="16" t="s">
        <v>2789</v>
      </c>
    </row>
    <row r="551" spans="1:14" ht="20.100000000000001" customHeight="1" x14ac:dyDescent="0.25">
      <c r="A551" s="15" t="s">
        <v>2790</v>
      </c>
      <c r="B551" s="16" t="s">
        <v>24</v>
      </c>
      <c r="C551" s="15">
        <v>9100541</v>
      </c>
      <c r="D551" s="16" t="s">
        <v>186</v>
      </c>
      <c r="E551" s="15" t="s">
        <v>2791</v>
      </c>
      <c r="F551" s="21" t="str">
        <f>HYPERLINK("https://psearch.kitsapgov.com/webappa/index.html?parcelID=1432228&amp;Theme=Imagery","1432228")</f>
        <v>1432228</v>
      </c>
      <c r="G551" s="16" t="s">
        <v>2792</v>
      </c>
      <c r="H551" s="17">
        <v>44760</v>
      </c>
      <c r="I551" s="18">
        <v>252000</v>
      </c>
      <c r="J551" s="19">
        <v>0.1</v>
      </c>
      <c r="K551" s="16" t="s">
        <v>349</v>
      </c>
      <c r="L551" s="16" t="s">
        <v>53</v>
      </c>
      <c r="M551" s="16" t="s">
        <v>2793</v>
      </c>
      <c r="N551" s="16" t="s">
        <v>2794</v>
      </c>
    </row>
    <row r="552" spans="1:14" ht="20.100000000000001" customHeight="1" x14ac:dyDescent="0.25">
      <c r="A552" s="15" t="s">
        <v>2795</v>
      </c>
      <c r="B552" s="16" t="s">
        <v>78</v>
      </c>
      <c r="C552" s="15">
        <v>9100543</v>
      </c>
      <c r="D552" s="16" t="s">
        <v>1628</v>
      </c>
      <c r="E552" s="15" t="s">
        <v>2796</v>
      </c>
      <c r="F552" s="21" t="str">
        <f>HYPERLINK("https://psearch.kitsapgov.com/webappa/index.html?parcelID=1481787&amp;Theme=Imagery","1481787")</f>
        <v>1481787</v>
      </c>
      <c r="G552" s="16" t="s">
        <v>2797</v>
      </c>
      <c r="H552" s="17">
        <v>44769</v>
      </c>
      <c r="I552" s="18">
        <v>415000</v>
      </c>
      <c r="J552" s="19">
        <v>0.22</v>
      </c>
      <c r="K552" s="16" t="s">
        <v>377</v>
      </c>
      <c r="L552" s="16" t="s">
        <v>213</v>
      </c>
      <c r="M552" s="16" t="s">
        <v>2798</v>
      </c>
      <c r="N552" s="16" t="s">
        <v>2799</v>
      </c>
    </row>
    <row r="553" spans="1:14" ht="20.100000000000001" customHeight="1" x14ac:dyDescent="0.25">
      <c r="A553" s="15" t="s">
        <v>2800</v>
      </c>
      <c r="B553" s="16" t="s">
        <v>1026</v>
      </c>
      <c r="C553" s="15">
        <v>9402401</v>
      </c>
      <c r="D553" s="16" t="s">
        <v>434</v>
      </c>
      <c r="E553" s="15" t="s">
        <v>2801</v>
      </c>
      <c r="F553" s="21" t="str">
        <f>HYPERLINK("https://psearch.kitsapgov.com/webappa/index.html?parcelID=1062082&amp;Theme=Imagery","1062082")</f>
        <v>1062082</v>
      </c>
      <c r="G553" s="16" t="s">
        <v>2802</v>
      </c>
      <c r="H553" s="17">
        <v>44747</v>
      </c>
      <c r="I553" s="18">
        <v>3750</v>
      </c>
      <c r="J553" s="19">
        <v>9.06</v>
      </c>
      <c r="K553" s="16" t="s">
        <v>205</v>
      </c>
      <c r="L553" s="16" t="s">
        <v>631</v>
      </c>
      <c r="M553" s="16" t="s">
        <v>2803</v>
      </c>
      <c r="N553" s="16" t="s">
        <v>2333</v>
      </c>
    </row>
    <row r="554" spans="1:14" ht="20.100000000000001" customHeight="1" x14ac:dyDescent="0.25">
      <c r="A554" s="15" t="s">
        <v>2804</v>
      </c>
      <c r="B554" s="16" t="s">
        <v>560</v>
      </c>
      <c r="C554" s="15">
        <v>8402405</v>
      </c>
      <c r="D554" s="16" t="s">
        <v>71</v>
      </c>
      <c r="E554" s="15" t="s">
        <v>2805</v>
      </c>
      <c r="F554" s="21" t="str">
        <f>HYPERLINK("https://psearch.kitsapgov.com/webappa/index.html?parcelID=2413888&amp;Theme=Imagery","2413888")</f>
        <v>2413888</v>
      </c>
      <c r="G554" s="16" t="s">
        <v>2806</v>
      </c>
      <c r="H554" s="17">
        <v>44755</v>
      </c>
      <c r="I554" s="18">
        <v>75000</v>
      </c>
      <c r="J554" s="19">
        <v>0</v>
      </c>
      <c r="L554" s="16" t="s">
        <v>944</v>
      </c>
      <c r="M554" s="16" t="s">
        <v>2807</v>
      </c>
      <c r="N554" s="16" t="s">
        <v>2658</v>
      </c>
    </row>
    <row r="555" spans="1:14" ht="20.100000000000001" customHeight="1" x14ac:dyDescent="0.25">
      <c r="A555" s="15" t="s">
        <v>2808</v>
      </c>
      <c r="B555" s="16" t="s">
        <v>159</v>
      </c>
      <c r="C555" s="15">
        <v>8400207</v>
      </c>
      <c r="D555" s="16" t="s">
        <v>298</v>
      </c>
      <c r="E555" s="15" t="s">
        <v>2809</v>
      </c>
      <c r="F555" s="21" t="str">
        <f>HYPERLINK("https://psearch.kitsapgov.com/webappa/index.html?parcelID=2455327&amp;Theme=Imagery","2455327")</f>
        <v>2455327</v>
      </c>
      <c r="G555" s="16" t="s">
        <v>2810</v>
      </c>
      <c r="H555" s="17">
        <v>44764</v>
      </c>
      <c r="I555" s="18">
        <v>5250000</v>
      </c>
      <c r="J555" s="19">
        <v>1.78</v>
      </c>
      <c r="K555" s="16" t="s">
        <v>301</v>
      </c>
      <c r="L555" s="16" t="s">
        <v>20</v>
      </c>
      <c r="M555" s="16" t="s">
        <v>2811</v>
      </c>
      <c r="N555" s="16" t="s">
        <v>2812</v>
      </c>
    </row>
    <row r="556" spans="1:14" ht="20.100000000000001" customHeight="1" x14ac:dyDescent="0.25">
      <c r="A556" s="15" t="s">
        <v>2813</v>
      </c>
      <c r="B556" s="16" t="s">
        <v>105</v>
      </c>
      <c r="C556" s="15">
        <v>8303601</v>
      </c>
      <c r="D556" s="16" t="s">
        <v>25</v>
      </c>
      <c r="E556" s="15" t="s">
        <v>2814</v>
      </c>
      <c r="F556" s="21" t="str">
        <f>HYPERLINK("https://psearch.kitsapgov.com/webappa/index.html?parcelID=2625804&amp;Theme=Imagery","2625804")</f>
        <v>2625804</v>
      </c>
      <c r="G556" s="16" t="s">
        <v>1619</v>
      </c>
      <c r="H556" s="17">
        <v>44774</v>
      </c>
      <c r="I556" s="18">
        <v>2375000</v>
      </c>
      <c r="J556" s="19">
        <v>4.03</v>
      </c>
      <c r="K556" s="16" t="s">
        <v>28</v>
      </c>
      <c r="L556" s="16" t="s">
        <v>20</v>
      </c>
      <c r="M556" s="16" t="s">
        <v>2815</v>
      </c>
      <c r="N556" s="16" t="s">
        <v>2816</v>
      </c>
    </row>
    <row r="557" spans="1:14" ht="20.100000000000001" customHeight="1" x14ac:dyDescent="0.25">
      <c r="A557" s="15" t="s">
        <v>2817</v>
      </c>
      <c r="B557" s="16" t="s">
        <v>2506</v>
      </c>
      <c r="C557" s="15">
        <v>8401101</v>
      </c>
      <c r="D557" s="16" t="s">
        <v>305</v>
      </c>
      <c r="E557" s="15" t="s">
        <v>2818</v>
      </c>
      <c r="F557" s="21" t="str">
        <f>HYPERLINK("https://psearch.kitsapgov.com/webappa/index.html?parcelID=1239318&amp;Theme=Imagery","1239318")</f>
        <v>1239318</v>
      </c>
      <c r="G557" s="16" t="s">
        <v>2819</v>
      </c>
      <c r="H557" s="17">
        <v>44773</v>
      </c>
      <c r="I557" s="18">
        <v>7400000</v>
      </c>
      <c r="J557" s="19">
        <v>0.83</v>
      </c>
      <c r="K557" s="16" t="s">
        <v>308</v>
      </c>
      <c r="L557" s="16" t="s">
        <v>20</v>
      </c>
      <c r="M557" s="16" t="s">
        <v>2820</v>
      </c>
      <c r="N557" s="16" t="s">
        <v>2821</v>
      </c>
    </row>
    <row r="558" spans="1:14" ht="20.100000000000001" customHeight="1" x14ac:dyDescent="0.25">
      <c r="A558" s="15" t="s">
        <v>2822</v>
      </c>
      <c r="B558" s="16" t="s">
        <v>1759</v>
      </c>
      <c r="C558" s="15">
        <v>8402403</v>
      </c>
      <c r="D558" s="16" t="s">
        <v>1760</v>
      </c>
      <c r="E558" s="15" t="s">
        <v>2823</v>
      </c>
      <c r="F558" s="21" t="str">
        <f>HYPERLINK("https://psearch.kitsapgov.com/webappa/index.html?parcelID=2524544&amp;Theme=Imagery","2524544")</f>
        <v>2524544</v>
      </c>
      <c r="G558" s="16" t="s">
        <v>2824</v>
      </c>
      <c r="H558" s="17">
        <v>44757</v>
      </c>
      <c r="I558" s="18">
        <v>380000</v>
      </c>
      <c r="J558" s="19">
        <v>0</v>
      </c>
      <c r="L558" s="16" t="s">
        <v>20</v>
      </c>
      <c r="M558" s="16" t="s">
        <v>2825</v>
      </c>
      <c r="N558" s="16" t="s">
        <v>2826</v>
      </c>
    </row>
    <row r="559" spans="1:14" ht="20.100000000000001" customHeight="1" x14ac:dyDescent="0.25">
      <c r="A559" s="15" t="s">
        <v>2827</v>
      </c>
      <c r="B559" s="16" t="s">
        <v>105</v>
      </c>
      <c r="C559" s="15">
        <v>8402307</v>
      </c>
      <c r="D559" s="16" t="s">
        <v>131</v>
      </c>
      <c r="E559" s="15" t="s">
        <v>2828</v>
      </c>
      <c r="F559" s="21" t="str">
        <f>HYPERLINK("https://psearch.kitsapgov.com/webappa/index.html?parcelID=1175348&amp;Theme=Imagery","1175348")</f>
        <v>1175348</v>
      </c>
      <c r="G559" s="16" t="s">
        <v>2829</v>
      </c>
      <c r="H559" s="17">
        <v>44771</v>
      </c>
      <c r="I559" s="18">
        <v>190000</v>
      </c>
      <c r="J559" s="19">
        <v>0.52</v>
      </c>
      <c r="K559" s="16" t="s">
        <v>515</v>
      </c>
      <c r="L559" s="16" t="s">
        <v>38</v>
      </c>
      <c r="M559" s="16" t="s">
        <v>2830</v>
      </c>
      <c r="N559" s="16" t="s">
        <v>2831</v>
      </c>
    </row>
    <row r="560" spans="1:14" ht="20.100000000000001" customHeight="1" x14ac:dyDescent="0.25">
      <c r="A560" s="15" t="s">
        <v>2832</v>
      </c>
      <c r="B560" s="16" t="s">
        <v>185</v>
      </c>
      <c r="C560" s="15">
        <v>9400204</v>
      </c>
      <c r="D560" s="16" t="s">
        <v>884</v>
      </c>
      <c r="E560" s="15" t="s">
        <v>2833</v>
      </c>
      <c r="F560" s="21" t="str">
        <f>HYPERLINK("https://psearch.kitsapgov.com/webappa/index.html?parcelID=1609858&amp;Theme=Imagery","1609858")</f>
        <v>1609858</v>
      </c>
      <c r="G560" s="16" t="s">
        <v>2834</v>
      </c>
      <c r="H560" s="17">
        <v>44774</v>
      </c>
      <c r="I560" s="18">
        <v>1180000</v>
      </c>
      <c r="J560" s="19">
        <v>0.41</v>
      </c>
      <c r="K560" s="16" t="s">
        <v>2613</v>
      </c>
      <c r="L560" s="16" t="s">
        <v>116</v>
      </c>
      <c r="M560" s="16" t="s">
        <v>2835</v>
      </c>
      <c r="N560" s="16" t="s">
        <v>2546</v>
      </c>
    </row>
    <row r="561" spans="1:14" ht="20.100000000000001" customHeight="1" x14ac:dyDescent="0.25">
      <c r="A561" s="15" t="s">
        <v>2836</v>
      </c>
      <c r="B561" s="16" t="s">
        <v>98</v>
      </c>
      <c r="C561" s="15">
        <v>8400206</v>
      </c>
      <c r="D561" s="16" t="s">
        <v>99</v>
      </c>
      <c r="E561" s="15" t="s">
        <v>2837</v>
      </c>
      <c r="F561" s="21" t="str">
        <f>HYPERLINK("https://psearch.kitsapgov.com/webappa/index.html?parcelID=2070969&amp;Theme=Imagery","2070969")</f>
        <v>2070969</v>
      </c>
      <c r="G561" s="16" t="s">
        <v>2569</v>
      </c>
      <c r="H561" s="17">
        <v>44781</v>
      </c>
      <c r="I561" s="18">
        <v>81000</v>
      </c>
      <c r="J561" s="19">
        <v>0</v>
      </c>
      <c r="L561" s="16" t="s">
        <v>20</v>
      </c>
      <c r="M561" s="16" t="s">
        <v>2838</v>
      </c>
      <c r="N561" s="16" t="s">
        <v>2839</v>
      </c>
    </row>
    <row r="562" spans="1:14" ht="20.100000000000001" customHeight="1" x14ac:dyDescent="0.25">
      <c r="A562" s="15" t="s">
        <v>2840</v>
      </c>
      <c r="B562" s="16" t="s">
        <v>984</v>
      </c>
      <c r="C562" s="15">
        <v>8400207</v>
      </c>
      <c r="D562" s="16" t="s">
        <v>298</v>
      </c>
      <c r="E562" s="15" t="s">
        <v>2841</v>
      </c>
      <c r="F562" s="21" t="str">
        <f>HYPERLINK("https://psearch.kitsapgov.com/webappa/index.html?parcelID=2646263&amp;Theme=Imagery","2646263")</f>
        <v>2646263</v>
      </c>
      <c r="G562" s="16" t="s">
        <v>2842</v>
      </c>
      <c r="H562" s="17">
        <v>44784</v>
      </c>
      <c r="I562" s="18">
        <v>600000</v>
      </c>
      <c r="J562" s="19">
        <v>0.1</v>
      </c>
      <c r="K562" s="16" t="s">
        <v>1017</v>
      </c>
      <c r="L562" s="16" t="s">
        <v>20</v>
      </c>
      <c r="M562" s="16" t="s">
        <v>1018</v>
      </c>
      <c r="N562" s="16" t="s">
        <v>2843</v>
      </c>
    </row>
    <row r="563" spans="1:14" ht="20.100000000000001" customHeight="1" x14ac:dyDescent="0.25">
      <c r="A563" s="15" t="s">
        <v>2844</v>
      </c>
      <c r="B563" s="16" t="s">
        <v>105</v>
      </c>
      <c r="C563" s="15">
        <v>8401104</v>
      </c>
      <c r="D563" s="16" t="s">
        <v>241</v>
      </c>
      <c r="E563" s="15" t="s">
        <v>2845</v>
      </c>
      <c r="F563" s="21" t="str">
        <f>HYPERLINK("https://psearch.kitsapgov.com/webappa/index.html?parcelID=2411726&amp;Theme=Imagery","2411726")</f>
        <v>2411726</v>
      </c>
      <c r="G563" s="16" t="s">
        <v>2846</v>
      </c>
      <c r="H563" s="17">
        <v>44785</v>
      </c>
      <c r="I563" s="18">
        <v>1000000</v>
      </c>
      <c r="J563" s="19">
        <v>11.52</v>
      </c>
      <c r="K563" s="16" t="s">
        <v>492</v>
      </c>
      <c r="L563" s="16" t="s">
        <v>20</v>
      </c>
      <c r="M563" s="16" t="s">
        <v>2847</v>
      </c>
      <c r="N563" s="16" t="s">
        <v>2848</v>
      </c>
    </row>
    <row r="564" spans="1:14" ht="20.100000000000001" customHeight="1" x14ac:dyDescent="0.25">
      <c r="A564" s="15" t="s">
        <v>2849</v>
      </c>
      <c r="B564" s="16" t="s">
        <v>24</v>
      </c>
      <c r="C564" s="15">
        <v>8402305</v>
      </c>
      <c r="D564" s="16" t="s">
        <v>452</v>
      </c>
      <c r="E564" s="15" t="s">
        <v>2850</v>
      </c>
      <c r="F564" s="21" t="str">
        <f>HYPERLINK("https://psearch.kitsapgov.com/webappa/index.html?parcelID=1776723&amp;Theme=Imagery","1776723")</f>
        <v>1776723</v>
      </c>
      <c r="G564" s="16" t="s">
        <v>2851</v>
      </c>
      <c r="H564" s="17">
        <v>44781</v>
      </c>
      <c r="I564" s="18">
        <v>850000</v>
      </c>
      <c r="J564" s="19">
        <v>0.75</v>
      </c>
      <c r="K564" s="16" t="s">
        <v>492</v>
      </c>
      <c r="L564" s="16" t="s">
        <v>20</v>
      </c>
      <c r="M564" s="16" t="s">
        <v>2852</v>
      </c>
      <c r="N564" s="16" t="s">
        <v>2853</v>
      </c>
    </row>
    <row r="565" spans="1:14" ht="20.100000000000001" customHeight="1" x14ac:dyDescent="0.25">
      <c r="A565" s="15" t="s">
        <v>2854</v>
      </c>
      <c r="B565" s="16" t="s">
        <v>202</v>
      </c>
      <c r="C565" s="15">
        <v>8401102</v>
      </c>
      <c r="D565" s="16" t="s">
        <v>17</v>
      </c>
      <c r="E565" s="15" t="s">
        <v>2855</v>
      </c>
      <c r="F565" s="21" t="str">
        <f>HYPERLINK("https://psearch.kitsapgov.com/webappa/index.html?parcelID=1658889&amp;Theme=Imagery","1658889")</f>
        <v>1658889</v>
      </c>
      <c r="G565" s="16" t="s">
        <v>2856</v>
      </c>
      <c r="H565" s="17">
        <v>44776</v>
      </c>
      <c r="I565" s="18">
        <v>750000</v>
      </c>
      <c r="J565" s="19">
        <v>0.25</v>
      </c>
      <c r="K565" s="16" t="s">
        <v>308</v>
      </c>
      <c r="L565" s="16" t="s">
        <v>20</v>
      </c>
      <c r="M565" s="16" t="s">
        <v>2857</v>
      </c>
      <c r="N565" s="16" t="s">
        <v>2858</v>
      </c>
    </row>
    <row r="566" spans="1:14" ht="20.100000000000001" customHeight="1" x14ac:dyDescent="0.25">
      <c r="A566" s="15" t="s">
        <v>2859</v>
      </c>
      <c r="B566" s="16" t="s">
        <v>24</v>
      </c>
      <c r="C566" s="15">
        <v>8400202</v>
      </c>
      <c r="D566" s="16" t="s">
        <v>440</v>
      </c>
      <c r="E566" s="15" t="s">
        <v>2860</v>
      </c>
      <c r="F566" s="21" t="str">
        <f>HYPERLINK("https://psearch.kitsapgov.com/webappa/index.html?parcelID=1340652&amp;Theme=Imagery","1340652")</f>
        <v>1340652</v>
      </c>
      <c r="G566" s="16" t="s">
        <v>2861</v>
      </c>
      <c r="H566" s="17">
        <v>44785</v>
      </c>
      <c r="I566" s="18">
        <v>450000</v>
      </c>
      <c r="J566" s="19">
        <v>0.12</v>
      </c>
      <c r="K566" s="16" t="s">
        <v>443</v>
      </c>
      <c r="L566" s="16" t="s">
        <v>38</v>
      </c>
      <c r="M566" s="16" t="s">
        <v>2862</v>
      </c>
      <c r="N566" s="16" t="s">
        <v>2863</v>
      </c>
    </row>
    <row r="567" spans="1:14" ht="20.100000000000001" customHeight="1" x14ac:dyDescent="0.25">
      <c r="A567" s="15" t="s">
        <v>2864</v>
      </c>
      <c r="B567" s="16" t="s">
        <v>105</v>
      </c>
      <c r="C567" s="15">
        <v>8400301</v>
      </c>
      <c r="D567" s="16" t="s">
        <v>1850</v>
      </c>
      <c r="E567" s="15" t="s">
        <v>2865</v>
      </c>
      <c r="F567" s="21" t="str">
        <f>HYPERLINK("https://psearch.kitsapgov.com/webappa/index.html?parcelID=1582857&amp;Theme=Imagery","1582857")</f>
        <v>1582857</v>
      </c>
      <c r="G567" s="16" t="s">
        <v>2866</v>
      </c>
      <c r="H567" s="17">
        <v>44782</v>
      </c>
      <c r="I567" s="18">
        <v>250000</v>
      </c>
      <c r="J567" s="19">
        <v>0.24</v>
      </c>
      <c r="K567" s="16" t="s">
        <v>1853</v>
      </c>
      <c r="L567" s="16" t="s">
        <v>20</v>
      </c>
      <c r="M567" s="16" t="s">
        <v>2867</v>
      </c>
      <c r="N567" s="16" t="s">
        <v>2868</v>
      </c>
    </row>
    <row r="568" spans="1:14" ht="20.100000000000001" customHeight="1" x14ac:dyDescent="0.25">
      <c r="A568" s="15" t="s">
        <v>2869</v>
      </c>
      <c r="B568" s="16" t="s">
        <v>24</v>
      </c>
      <c r="C568" s="15">
        <v>8401102</v>
      </c>
      <c r="D568" s="16" t="s">
        <v>17</v>
      </c>
      <c r="E568" s="15" t="s">
        <v>2870</v>
      </c>
      <c r="F568" s="21" t="str">
        <f>HYPERLINK("https://psearch.kitsapgov.com/webappa/index.html?parcelID=1986496&amp;Theme=Imagery","1986496")</f>
        <v>1986496</v>
      </c>
      <c r="G568" s="16" t="s">
        <v>2871</v>
      </c>
      <c r="H568" s="17">
        <v>44778</v>
      </c>
      <c r="I568" s="18">
        <v>1450000</v>
      </c>
      <c r="J568" s="19">
        <v>0.37</v>
      </c>
      <c r="K568" s="16" t="s">
        <v>308</v>
      </c>
      <c r="L568" s="16" t="s">
        <v>20</v>
      </c>
      <c r="M568" s="16" t="s">
        <v>2872</v>
      </c>
      <c r="N568" s="16" t="s">
        <v>2873</v>
      </c>
    </row>
    <row r="569" spans="1:14" ht="20.100000000000001" customHeight="1" x14ac:dyDescent="0.25">
      <c r="A569" s="15" t="s">
        <v>2874</v>
      </c>
      <c r="B569" s="16" t="s">
        <v>105</v>
      </c>
      <c r="C569" s="15">
        <v>9401592</v>
      </c>
      <c r="D569" s="16" t="s">
        <v>696</v>
      </c>
      <c r="E569" s="15" t="s">
        <v>2875</v>
      </c>
      <c r="F569" s="21" t="str">
        <f>HYPERLINK("https://psearch.kitsapgov.com/webappa/index.html?parcelID=1261148&amp;Theme=Imagery","1261148")</f>
        <v>1261148</v>
      </c>
      <c r="G569" s="16" t="s">
        <v>2876</v>
      </c>
      <c r="H569" s="17">
        <v>44784</v>
      </c>
      <c r="I569" s="18">
        <v>105000</v>
      </c>
      <c r="J569" s="19">
        <v>0.61</v>
      </c>
      <c r="K569" s="16" t="s">
        <v>699</v>
      </c>
      <c r="L569" s="16" t="s">
        <v>20</v>
      </c>
      <c r="M569" s="16" t="s">
        <v>2877</v>
      </c>
      <c r="N569" s="16" t="s">
        <v>2878</v>
      </c>
    </row>
    <row r="570" spans="1:14" ht="20.100000000000001" customHeight="1" x14ac:dyDescent="0.25">
      <c r="A570" s="15" t="s">
        <v>2879</v>
      </c>
      <c r="B570" s="16" t="s">
        <v>560</v>
      </c>
      <c r="C570" s="15">
        <v>8402405</v>
      </c>
      <c r="D570" s="16" t="s">
        <v>71</v>
      </c>
      <c r="E570" s="15" t="s">
        <v>2655</v>
      </c>
      <c r="F570" s="21" t="str">
        <f>HYPERLINK("https://psearch.kitsapgov.com/webappa/index.html?parcelID=2288868&amp;Theme=Imagery","2288868")</f>
        <v>2288868</v>
      </c>
      <c r="G570" s="16" t="s">
        <v>2656</v>
      </c>
      <c r="H570" s="17">
        <v>44784</v>
      </c>
      <c r="I570" s="18">
        <v>60000</v>
      </c>
      <c r="J570" s="19">
        <v>0</v>
      </c>
      <c r="L570" s="16" t="s">
        <v>944</v>
      </c>
      <c r="M570" s="16" t="s">
        <v>2658</v>
      </c>
      <c r="N570" s="16" t="s">
        <v>2880</v>
      </c>
    </row>
    <row r="571" spans="1:14" ht="20.100000000000001" customHeight="1" x14ac:dyDescent="0.25">
      <c r="A571" s="15" t="s">
        <v>2881</v>
      </c>
      <c r="B571" s="16" t="s">
        <v>533</v>
      </c>
      <c r="C571" s="15">
        <v>9400204</v>
      </c>
      <c r="D571" s="16" t="s">
        <v>884</v>
      </c>
      <c r="E571" s="15" t="s">
        <v>2882</v>
      </c>
      <c r="F571" s="21" t="str">
        <f>HYPERLINK("https://psearch.kitsapgov.com/webappa/index.html?parcelID=1610039&amp;Theme=Imagery","1610039")</f>
        <v>1610039</v>
      </c>
      <c r="G571" s="16" t="s">
        <v>2883</v>
      </c>
      <c r="H571" s="17">
        <v>44793</v>
      </c>
      <c r="I571" s="18">
        <v>1240000</v>
      </c>
      <c r="J571" s="19">
        <v>0.35</v>
      </c>
      <c r="K571" s="16" t="s">
        <v>887</v>
      </c>
      <c r="L571" s="16" t="s">
        <v>20</v>
      </c>
      <c r="M571" s="16" t="s">
        <v>2884</v>
      </c>
      <c r="N571" s="16" t="s">
        <v>2885</v>
      </c>
    </row>
    <row r="572" spans="1:14" ht="20.100000000000001" customHeight="1" x14ac:dyDescent="0.25">
      <c r="A572" s="15" t="s">
        <v>2886</v>
      </c>
      <c r="B572" s="16" t="s">
        <v>48</v>
      </c>
      <c r="C572" s="15">
        <v>8100506</v>
      </c>
      <c r="D572" s="16" t="s">
        <v>286</v>
      </c>
      <c r="E572" s="15" t="s">
        <v>2887</v>
      </c>
      <c r="F572" s="21" t="str">
        <f>HYPERLINK("https://psearch.kitsapgov.com/webappa/index.html?parcelID=2606838&amp;Theme=Imagery","2606838")</f>
        <v>2606838</v>
      </c>
      <c r="G572" s="16" t="s">
        <v>2888</v>
      </c>
      <c r="H572" s="17">
        <v>44795</v>
      </c>
      <c r="I572" s="18">
        <v>48500000</v>
      </c>
      <c r="J572" s="19">
        <v>6.85</v>
      </c>
      <c r="K572" s="16" t="s">
        <v>168</v>
      </c>
      <c r="L572" s="16" t="s">
        <v>38</v>
      </c>
      <c r="M572" s="16" t="s">
        <v>2889</v>
      </c>
      <c r="N572" s="16" t="s">
        <v>2890</v>
      </c>
    </row>
    <row r="573" spans="1:14" ht="20.100000000000001" customHeight="1" x14ac:dyDescent="0.25">
      <c r="A573" s="15" t="s">
        <v>2891</v>
      </c>
      <c r="B573" s="16" t="s">
        <v>78</v>
      </c>
      <c r="C573" s="15">
        <v>9401190</v>
      </c>
      <c r="D573" s="16" t="s">
        <v>330</v>
      </c>
      <c r="E573" s="15" t="s">
        <v>2892</v>
      </c>
      <c r="F573" s="21" t="str">
        <f>HYPERLINK("https://psearch.kitsapgov.com/webappa/index.html?parcelID=1223171&amp;Theme=Imagery","1223171")</f>
        <v>1223171</v>
      </c>
      <c r="G573" s="16" t="s">
        <v>2893</v>
      </c>
      <c r="H573" s="17">
        <v>44795</v>
      </c>
      <c r="I573" s="18">
        <v>560000</v>
      </c>
      <c r="J573" s="19">
        <v>0.75</v>
      </c>
      <c r="K573" s="16" t="s">
        <v>37</v>
      </c>
      <c r="L573" s="16" t="s">
        <v>20</v>
      </c>
      <c r="M573" s="16" t="s">
        <v>2894</v>
      </c>
      <c r="N573" s="16" t="s">
        <v>2895</v>
      </c>
    </row>
    <row r="574" spans="1:14" ht="20.100000000000001" customHeight="1" x14ac:dyDescent="0.25">
      <c r="A574" s="15" t="s">
        <v>2896</v>
      </c>
      <c r="B574" s="16" t="s">
        <v>381</v>
      </c>
      <c r="C574" s="15">
        <v>8400301</v>
      </c>
      <c r="D574" s="16" t="s">
        <v>1850</v>
      </c>
      <c r="E574" s="15" t="s">
        <v>2897</v>
      </c>
      <c r="F574" s="21" t="str">
        <f>HYPERLINK("https://psearch.kitsapgov.com/webappa/index.html?parcelID=1582832&amp;Theme=Imagery","1582832")</f>
        <v>1582832</v>
      </c>
      <c r="G574" s="16" t="s">
        <v>2898</v>
      </c>
      <c r="H574" s="17">
        <v>44812</v>
      </c>
      <c r="I574" s="18">
        <v>1450000</v>
      </c>
      <c r="J574" s="19">
        <v>0.48</v>
      </c>
      <c r="K574" s="16" t="s">
        <v>1853</v>
      </c>
      <c r="L574" s="16" t="s">
        <v>20</v>
      </c>
      <c r="M574" s="16" t="s">
        <v>2899</v>
      </c>
      <c r="N574" s="16" t="s">
        <v>2900</v>
      </c>
    </row>
    <row r="575" spans="1:14" ht="20.100000000000001" customHeight="1" x14ac:dyDescent="0.25">
      <c r="A575" s="15" t="s">
        <v>2901</v>
      </c>
      <c r="B575" s="16" t="s">
        <v>533</v>
      </c>
      <c r="C575" s="15">
        <v>9402396</v>
      </c>
      <c r="D575" s="16" t="s">
        <v>2902</v>
      </c>
      <c r="E575" s="15" t="s">
        <v>2903</v>
      </c>
      <c r="F575" s="21" t="str">
        <f>HYPERLINK("https://psearch.kitsapgov.com/webappa/index.html?parcelID=1966266&amp;Theme=Imagery","1966266")</f>
        <v>1966266</v>
      </c>
      <c r="G575" s="16" t="s">
        <v>2904</v>
      </c>
      <c r="H575" s="17">
        <v>44806</v>
      </c>
      <c r="I575" s="18">
        <v>1546500</v>
      </c>
      <c r="J575" s="19">
        <v>0.14000000000000001</v>
      </c>
      <c r="K575" s="16" t="s">
        <v>647</v>
      </c>
      <c r="L575" s="16" t="s">
        <v>20</v>
      </c>
      <c r="M575" s="16" t="s">
        <v>2905</v>
      </c>
      <c r="N575" s="16" t="s">
        <v>2906</v>
      </c>
    </row>
    <row r="576" spans="1:14" ht="20.100000000000001" customHeight="1" x14ac:dyDescent="0.25">
      <c r="A576" s="15" t="s">
        <v>2907</v>
      </c>
      <c r="B576" s="16" t="s">
        <v>793</v>
      </c>
      <c r="C576" s="15">
        <v>8401104</v>
      </c>
      <c r="D576" s="16" t="s">
        <v>241</v>
      </c>
      <c r="E576" s="15" t="s">
        <v>2908</v>
      </c>
      <c r="F576" s="21" t="str">
        <f>HYPERLINK("https://psearch.kitsapgov.com/webappa/index.html?parcelID=2146785&amp;Theme=Imagery","2146785")</f>
        <v>2146785</v>
      </c>
      <c r="G576" s="16" t="s">
        <v>2909</v>
      </c>
      <c r="H576" s="17">
        <v>44818</v>
      </c>
      <c r="I576" s="18">
        <v>3000000</v>
      </c>
      <c r="J576" s="19">
        <v>6.4</v>
      </c>
      <c r="K576" s="16" t="s">
        <v>37</v>
      </c>
      <c r="L576" s="16" t="s">
        <v>20</v>
      </c>
      <c r="M576" s="16" t="s">
        <v>2910</v>
      </c>
      <c r="N576" s="16" t="s">
        <v>2911</v>
      </c>
    </row>
    <row r="577" spans="1:14" ht="20.100000000000001" customHeight="1" x14ac:dyDescent="0.25">
      <c r="A577" s="15" t="s">
        <v>2912</v>
      </c>
      <c r="B577" s="16" t="s">
        <v>105</v>
      </c>
      <c r="C577" s="15">
        <v>8401104</v>
      </c>
      <c r="D577" s="16" t="s">
        <v>241</v>
      </c>
      <c r="E577" s="15" t="s">
        <v>2553</v>
      </c>
      <c r="F577" s="21" t="str">
        <f>HYPERLINK("https://psearch.kitsapgov.com/webappa/index.html?parcelID=2251817&amp;Theme=Imagery","2251817")</f>
        <v>2251817</v>
      </c>
      <c r="G577" s="16" t="s">
        <v>2554</v>
      </c>
      <c r="H577" s="17">
        <v>44817</v>
      </c>
      <c r="I577" s="18">
        <v>1300000</v>
      </c>
      <c r="J577" s="19">
        <v>5.59</v>
      </c>
      <c r="K577" s="16" t="s">
        <v>37</v>
      </c>
      <c r="L577" s="16" t="s">
        <v>20</v>
      </c>
      <c r="M577" s="16" t="s">
        <v>2556</v>
      </c>
      <c r="N577" s="16" t="s">
        <v>2911</v>
      </c>
    </row>
    <row r="578" spans="1:14" ht="20.100000000000001" customHeight="1" x14ac:dyDescent="0.25">
      <c r="A578" s="15" t="s">
        <v>2913</v>
      </c>
      <c r="B578" s="16" t="s">
        <v>317</v>
      </c>
      <c r="C578" s="15">
        <v>8100501</v>
      </c>
      <c r="D578" s="16" t="s">
        <v>63</v>
      </c>
      <c r="E578" s="15" t="s">
        <v>2914</v>
      </c>
      <c r="F578" s="21" t="str">
        <f>HYPERLINK("https://psearch.kitsapgov.com/webappa/index.html?parcelID=1426584&amp;Theme=Imagery","1426584")</f>
        <v>1426584</v>
      </c>
      <c r="G578" s="16" t="s">
        <v>2915</v>
      </c>
      <c r="H578" s="17">
        <v>44812</v>
      </c>
      <c r="I578" s="18">
        <v>695000</v>
      </c>
      <c r="J578" s="19">
        <v>0.13</v>
      </c>
      <c r="K578" s="16" t="s">
        <v>93</v>
      </c>
      <c r="L578" s="16" t="s">
        <v>20</v>
      </c>
      <c r="M578" s="16" t="s">
        <v>2916</v>
      </c>
      <c r="N578" s="16" t="s">
        <v>2917</v>
      </c>
    </row>
    <row r="579" spans="1:14" ht="20.100000000000001" customHeight="1" x14ac:dyDescent="0.25">
      <c r="A579" s="15" t="s">
        <v>2918</v>
      </c>
      <c r="B579" s="16" t="s">
        <v>185</v>
      </c>
      <c r="C579" s="15">
        <v>9100541</v>
      </c>
      <c r="D579" s="16" t="s">
        <v>186</v>
      </c>
      <c r="E579" s="15" t="s">
        <v>187</v>
      </c>
      <c r="F579" s="21" t="str">
        <f>HYPERLINK("https://psearch.kitsapgov.com/webappa/index.html?parcelID=1429018&amp;Theme=Imagery","1429018")</f>
        <v>1429018</v>
      </c>
      <c r="G579" s="16" t="s">
        <v>188</v>
      </c>
      <c r="H579" s="17">
        <v>44820</v>
      </c>
      <c r="I579" s="18">
        <v>784000</v>
      </c>
      <c r="J579" s="19">
        <v>0.09</v>
      </c>
      <c r="K579" s="16" t="s">
        <v>189</v>
      </c>
      <c r="L579" s="16" t="s">
        <v>20</v>
      </c>
      <c r="M579" s="16" t="s">
        <v>1334</v>
      </c>
      <c r="N579" s="16" t="s">
        <v>2919</v>
      </c>
    </row>
    <row r="580" spans="1:14" ht="20.100000000000001" customHeight="1" x14ac:dyDescent="0.25">
      <c r="A580" s="15" t="s">
        <v>2920</v>
      </c>
      <c r="B580" s="16" t="s">
        <v>62</v>
      </c>
      <c r="C580" s="15">
        <v>8100504</v>
      </c>
      <c r="D580" s="16" t="s">
        <v>210</v>
      </c>
      <c r="E580" s="15" t="s">
        <v>2921</v>
      </c>
      <c r="F580" s="21" t="str">
        <f>HYPERLINK("https://psearch.kitsapgov.com/webappa/index.html?parcelID=2159564&amp;Theme=Imagery","2159564")</f>
        <v>2159564</v>
      </c>
      <c r="G580" s="16" t="s">
        <v>2922</v>
      </c>
      <c r="H580" s="17">
        <v>44803</v>
      </c>
      <c r="I580" s="18">
        <v>3450</v>
      </c>
      <c r="J580" s="19">
        <v>0.46</v>
      </c>
      <c r="K580" s="16" t="s">
        <v>492</v>
      </c>
      <c r="L580" s="16" t="s">
        <v>232</v>
      </c>
      <c r="M580" s="16" t="s">
        <v>2923</v>
      </c>
      <c r="N580" s="16" t="s">
        <v>234</v>
      </c>
    </row>
    <row r="581" spans="1:14" ht="20.100000000000001" customHeight="1" x14ac:dyDescent="0.25">
      <c r="A581" s="15" t="s">
        <v>2924</v>
      </c>
      <c r="B581" s="16" t="s">
        <v>24</v>
      </c>
      <c r="C581" s="15">
        <v>8100502</v>
      </c>
      <c r="D581" s="16" t="s">
        <v>142</v>
      </c>
      <c r="E581" s="15" t="s">
        <v>2925</v>
      </c>
      <c r="F581" s="21" t="str">
        <f>HYPERLINK("https://psearch.kitsapgov.com/webappa/index.html?parcelID=1451871&amp;Theme=Imagery","1451871")</f>
        <v>1451871</v>
      </c>
      <c r="G581" s="16" t="s">
        <v>2926</v>
      </c>
      <c r="H581" s="17">
        <v>44830</v>
      </c>
      <c r="I581" s="18">
        <v>1000000</v>
      </c>
      <c r="J581" s="19">
        <v>0.26</v>
      </c>
      <c r="K581" s="16" t="s">
        <v>168</v>
      </c>
      <c r="L581" s="16" t="s">
        <v>38</v>
      </c>
      <c r="M581" s="16" t="s">
        <v>2927</v>
      </c>
      <c r="N581" s="16" t="s">
        <v>2928</v>
      </c>
    </row>
    <row r="582" spans="1:14" ht="20.100000000000001" customHeight="1" x14ac:dyDescent="0.25">
      <c r="A582" s="15" t="s">
        <v>2929</v>
      </c>
      <c r="B582" s="16" t="s">
        <v>70</v>
      </c>
      <c r="C582" s="15">
        <v>8100502</v>
      </c>
      <c r="D582" s="16" t="s">
        <v>142</v>
      </c>
      <c r="E582" s="15" t="s">
        <v>2930</v>
      </c>
      <c r="F582" s="21" t="str">
        <f>HYPERLINK("https://psearch.kitsapgov.com/webappa/index.html?parcelID=2167229&amp;Theme=Imagery","2167229")</f>
        <v>2167229</v>
      </c>
      <c r="G582" s="16" t="s">
        <v>2931</v>
      </c>
      <c r="H582" s="17">
        <v>44796</v>
      </c>
      <c r="I582" s="18">
        <v>400000</v>
      </c>
      <c r="J582" s="19">
        <v>1.1499999999999999</v>
      </c>
      <c r="K582" s="16" t="s">
        <v>168</v>
      </c>
      <c r="L582" s="16" t="s">
        <v>20</v>
      </c>
      <c r="M582" s="16" t="s">
        <v>2932</v>
      </c>
      <c r="N582" s="16" t="s">
        <v>1432</v>
      </c>
    </row>
    <row r="583" spans="1:14" ht="20.100000000000001" customHeight="1" x14ac:dyDescent="0.25">
      <c r="A583" s="15" t="s">
        <v>2933</v>
      </c>
      <c r="B583" s="16" t="s">
        <v>202</v>
      </c>
      <c r="C583" s="15">
        <v>8401102</v>
      </c>
      <c r="D583" s="16" t="s">
        <v>17</v>
      </c>
      <c r="E583" s="15" t="s">
        <v>2934</v>
      </c>
      <c r="F583" s="21" t="str">
        <f>HYPERLINK("https://psearch.kitsapgov.com/webappa/index.html?parcelID=1658905&amp;Theme=Imagery","1658905")</f>
        <v>1658905</v>
      </c>
      <c r="G583" s="16" t="s">
        <v>2935</v>
      </c>
      <c r="H583" s="17">
        <v>44848</v>
      </c>
      <c r="I583" s="18">
        <v>600000</v>
      </c>
      <c r="J583" s="19">
        <v>0.12</v>
      </c>
      <c r="K583" s="16" t="s">
        <v>679</v>
      </c>
      <c r="L583" s="16" t="s">
        <v>190</v>
      </c>
      <c r="M583" s="16" t="s">
        <v>2936</v>
      </c>
      <c r="N583" s="16" t="s">
        <v>2937</v>
      </c>
    </row>
    <row r="584" spans="1:14" ht="20.100000000000001" customHeight="1" x14ac:dyDescent="0.25">
      <c r="A584" s="15" t="s">
        <v>2938</v>
      </c>
      <c r="B584" s="16" t="s">
        <v>324</v>
      </c>
      <c r="C584" s="15">
        <v>8100502</v>
      </c>
      <c r="D584" s="16" t="s">
        <v>142</v>
      </c>
      <c r="E584" s="15" t="s">
        <v>2939</v>
      </c>
      <c r="F584" s="21" t="str">
        <f>HYPERLINK("https://psearch.kitsapgov.com/webappa/index.html?parcelID=1148261&amp;Theme=Imagery","1148261")</f>
        <v>1148261</v>
      </c>
      <c r="G584" s="16" t="s">
        <v>2940</v>
      </c>
      <c r="H584" s="17">
        <v>44861</v>
      </c>
      <c r="I584" s="18">
        <v>450000</v>
      </c>
      <c r="J584" s="19">
        <v>0.2</v>
      </c>
      <c r="K584" s="16" t="s">
        <v>168</v>
      </c>
      <c r="L584" s="16" t="s">
        <v>20</v>
      </c>
      <c r="M584" s="16" t="s">
        <v>2941</v>
      </c>
      <c r="N584" s="16" t="s">
        <v>2942</v>
      </c>
    </row>
    <row r="585" spans="1:14" ht="20.100000000000001" customHeight="1" x14ac:dyDescent="0.25">
      <c r="A585" s="15" t="s">
        <v>2943</v>
      </c>
      <c r="B585" s="16" t="s">
        <v>834</v>
      </c>
      <c r="C585" s="15">
        <v>8100504</v>
      </c>
      <c r="D585" s="16" t="s">
        <v>210</v>
      </c>
      <c r="E585" s="15" t="s">
        <v>2944</v>
      </c>
      <c r="F585" s="21" t="str">
        <f>HYPERLINK("https://psearch.kitsapgov.com/webappa/index.html?parcelID=2149359&amp;Theme=Imagery","2149359")</f>
        <v>2149359</v>
      </c>
      <c r="G585" s="16" t="s">
        <v>2945</v>
      </c>
      <c r="H585" s="17">
        <v>44855</v>
      </c>
      <c r="I585" s="18">
        <v>925000</v>
      </c>
      <c r="J585" s="19">
        <v>0.6</v>
      </c>
      <c r="K585" s="16" t="s">
        <v>492</v>
      </c>
      <c r="L585" s="16" t="s">
        <v>20</v>
      </c>
      <c r="M585" s="16" t="s">
        <v>2946</v>
      </c>
      <c r="N585" s="16" t="s">
        <v>2947</v>
      </c>
    </row>
    <row r="586" spans="1:14" ht="20.100000000000001" customHeight="1" x14ac:dyDescent="0.25">
      <c r="A586" s="15" t="s">
        <v>2948</v>
      </c>
      <c r="B586" s="16" t="s">
        <v>560</v>
      </c>
      <c r="C586" s="15">
        <v>8402405</v>
      </c>
      <c r="D586" s="16" t="s">
        <v>71</v>
      </c>
      <c r="E586" s="15" t="s">
        <v>2949</v>
      </c>
      <c r="F586" s="21" t="str">
        <f>HYPERLINK("https://psearch.kitsapgov.com/webappa/index.html?parcelID=2288785&amp;Theme=Imagery","2288785")</f>
        <v>2288785</v>
      </c>
      <c r="G586" s="16" t="s">
        <v>2950</v>
      </c>
      <c r="H586" s="17">
        <v>44859</v>
      </c>
      <c r="I586" s="18">
        <v>67000</v>
      </c>
      <c r="J586" s="19">
        <v>0</v>
      </c>
      <c r="L586" s="16" t="s">
        <v>944</v>
      </c>
      <c r="M586" s="16" t="s">
        <v>2951</v>
      </c>
      <c r="N586" s="16" t="s">
        <v>2952</v>
      </c>
    </row>
    <row r="587" spans="1:14" ht="20.100000000000001" customHeight="1" x14ac:dyDescent="0.25">
      <c r="A587" s="15" t="s">
        <v>2953</v>
      </c>
      <c r="B587" s="16" t="s">
        <v>105</v>
      </c>
      <c r="C587" s="15">
        <v>8400207</v>
      </c>
      <c r="D587" s="16" t="s">
        <v>298</v>
      </c>
      <c r="E587" s="15" t="s">
        <v>2954</v>
      </c>
      <c r="F587" s="21" t="str">
        <f>HYPERLINK("https://psearch.kitsapgov.com/webappa/index.html?parcelID=2457265&amp;Theme=Imagery","2457265")</f>
        <v>2457265</v>
      </c>
      <c r="G587" s="16" t="s">
        <v>2955</v>
      </c>
      <c r="H587" s="17">
        <v>44872</v>
      </c>
      <c r="I587" s="18">
        <v>480000</v>
      </c>
      <c r="J587" s="19">
        <v>1.97</v>
      </c>
      <c r="K587" s="16" t="s">
        <v>960</v>
      </c>
      <c r="L587" s="16" t="s">
        <v>20</v>
      </c>
      <c r="M587" s="16" t="s">
        <v>961</v>
      </c>
      <c r="N587" s="16" t="s">
        <v>2956</v>
      </c>
    </row>
    <row r="588" spans="1:14" ht="20.100000000000001" customHeight="1" x14ac:dyDescent="0.25">
      <c r="A588" s="15" t="s">
        <v>2957</v>
      </c>
      <c r="B588" s="16" t="s">
        <v>105</v>
      </c>
      <c r="C588" s="15">
        <v>8100504</v>
      </c>
      <c r="D588" s="16" t="s">
        <v>210</v>
      </c>
      <c r="E588" s="15" t="s">
        <v>2958</v>
      </c>
      <c r="F588" s="21" t="str">
        <f>HYPERLINK("https://psearch.kitsapgov.com/webappa/index.html?parcelID=1672021&amp;Theme=Imagery","1672021")</f>
        <v>1672021</v>
      </c>
      <c r="G588" s="16" t="s">
        <v>2959</v>
      </c>
      <c r="H588" s="17">
        <v>44866</v>
      </c>
      <c r="I588" s="18">
        <v>85000</v>
      </c>
      <c r="J588" s="19">
        <v>3.15</v>
      </c>
      <c r="K588" s="16" t="s">
        <v>492</v>
      </c>
      <c r="L588" s="16" t="s">
        <v>94</v>
      </c>
      <c r="M588" s="16" t="s">
        <v>2960</v>
      </c>
      <c r="N588" s="16" t="s">
        <v>2961</v>
      </c>
    </row>
    <row r="589" spans="1:14" ht="20.100000000000001" customHeight="1" x14ac:dyDescent="0.25">
      <c r="A589" s="15" t="s">
        <v>2962</v>
      </c>
      <c r="B589" s="16" t="s">
        <v>24</v>
      </c>
      <c r="C589" s="15">
        <v>8400202</v>
      </c>
      <c r="D589" s="16" t="s">
        <v>440</v>
      </c>
      <c r="E589" s="15" t="s">
        <v>2963</v>
      </c>
      <c r="F589" s="21" t="str">
        <f>HYPERLINK("https://psearch.kitsapgov.com/webappa/index.html?parcelID=2365229&amp;Theme=Imagery","2365229")</f>
        <v>2365229</v>
      </c>
      <c r="G589" s="16" t="s">
        <v>2964</v>
      </c>
      <c r="H589" s="17">
        <v>44880</v>
      </c>
      <c r="I589" s="18">
        <v>5525000</v>
      </c>
      <c r="J589" s="19">
        <v>0.42</v>
      </c>
      <c r="K589" s="16" t="s">
        <v>443</v>
      </c>
      <c r="L589" s="16" t="s">
        <v>20</v>
      </c>
      <c r="M589" s="16" t="s">
        <v>2965</v>
      </c>
      <c r="N589" s="16" t="s">
        <v>2966</v>
      </c>
    </row>
    <row r="590" spans="1:14" ht="20.100000000000001" customHeight="1" x14ac:dyDescent="0.25">
      <c r="A590" s="15" t="s">
        <v>2967</v>
      </c>
      <c r="B590" s="16" t="s">
        <v>105</v>
      </c>
      <c r="C590" s="15">
        <v>8400202</v>
      </c>
      <c r="D590" s="16" t="s">
        <v>440</v>
      </c>
      <c r="E590" s="15" t="s">
        <v>2968</v>
      </c>
      <c r="F590" s="21" t="str">
        <f>HYPERLINK("https://psearch.kitsapgov.com/webappa/index.html?parcelID=1340462&amp;Theme=Imagery","1340462")</f>
        <v>1340462</v>
      </c>
      <c r="G590" s="16" t="s">
        <v>2969</v>
      </c>
      <c r="H590" s="17">
        <v>44880</v>
      </c>
      <c r="I590" s="18">
        <v>1100000</v>
      </c>
      <c r="J590" s="19">
        <v>2.5499999999999998</v>
      </c>
      <c r="K590" s="16" t="s">
        <v>443</v>
      </c>
      <c r="L590" s="16" t="s">
        <v>20</v>
      </c>
      <c r="M590" s="16" t="s">
        <v>2970</v>
      </c>
      <c r="N590" s="16" t="s">
        <v>2971</v>
      </c>
    </row>
    <row r="591" spans="1:14" ht="20.100000000000001" customHeight="1" x14ac:dyDescent="0.25">
      <c r="A591" s="15" t="s">
        <v>2972</v>
      </c>
      <c r="B591" s="16" t="s">
        <v>159</v>
      </c>
      <c r="C591" s="15">
        <v>8100504</v>
      </c>
      <c r="D591" s="16" t="s">
        <v>210</v>
      </c>
      <c r="E591" s="15" t="s">
        <v>2973</v>
      </c>
      <c r="F591" s="21" t="str">
        <f>HYPERLINK("https://psearch.kitsapgov.com/webappa/index.html?parcelID=1673136&amp;Theme=Imagery","1673136")</f>
        <v>1673136</v>
      </c>
      <c r="G591" s="16" t="s">
        <v>2974</v>
      </c>
      <c r="H591" s="17">
        <v>44862</v>
      </c>
      <c r="I591" s="18">
        <v>600</v>
      </c>
      <c r="J591" s="19">
        <v>0.33</v>
      </c>
      <c r="K591" s="16" t="s">
        <v>492</v>
      </c>
      <c r="L591" s="16" t="s">
        <v>232</v>
      </c>
      <c r="M591" s="16" t="s">
        <v>2975</v>
      </c>
      <c r="N591" s="16" t="s">
        <v>234</v>
      </c>
    </row>
    <row r="592" spans="1:14" ht="20.100000000000001" customHeight="1" x14ac:dyDescent="0.25">
      <c r="A592" s="15" t="s">
        <v>2976</v>
      </c>
      <c r="B592" s="16" t="s">
        <v>105</v>
      </c>
      <c r="C592" s="15">
        <v>8402307</v>
      </c>
      <c r="D592" s="16" t="s">
        <v>131</v>
      </c>
      <c r="E592" s="15" t="s">
        <v>878</v>
      </c>
      <c r="F592" s="21" t="str">
        <f>HYPERLINK("https://psearch.kitsapgov.com/webappa/index.html?parcelID=1504240&amp;Theme=Imagery","1504240")</f>
        <v>1504240</v>
      </c>
      <c r="G592" s="16" t="s">
        <v>879</v>
      </c>
      <c r="H592" s="17">
        <v>44874</v>
      </c>
      <c r="I592" s="18">
        <v>75000</v>
      </c>
      <c r="J592" s="19">
        <v>0.13</v>
      </c>
      <c r="K592" s="16" t="s">
        <v>880</v>
      </c>
      <c r="L592" s="16" t="s">
        <v>20</v>
      </c>
      <c r="M592" s="16" t="s">
        <v>2977</v>
      </c>
      <c r="N592" s="16" t="s">
        <v>2978</v>
      </c>
    </row>
    <row r="593" spans="1:14" ht="20.100000000000001" customHeight="1" x14ac:dyDescent="0.25">
      <c r="A593" s="15" t="s">
        <v>2979</v>
      </c>
      <c r="B593" s="16" t="s">
        <v>533</v>
      </c>
      <c r="C593" s="15">
        <v>9100541</v>
      </c>
      <c r="D593" s="16" t="s">
        <v>186</v>
      </c>
      <c r="E593" s="15" t="s">
        <v>2980</v>
      </c>
      <c r="F593" s="21" t="str">
        <f>HYPERLINK("https://psearch.kitsapgov.com/webappa/index.html?parcelID=1139542&amp;Theme=Imagery","1139542")</f>
        <v>1139542</v>
      </c>
      <c r="G593" s="16" t="s">
        <v>2981</v>
      </c>
      <c r="H593" s="17">
        <v>44885</v>
      </c>
      <c r="I593" s="18">
        <v>870000</v>
      </c>
      <c r="J593" s="19">
        <v>0.08</v>
      </c>
      <c r="K593" s="16" t="s">
        <v>349</v>
      </c>
      <c r="L593" s="16" t="s">
        <v>20</v>
      </c>
      <c r="M593" s="16" t="s">
        <v>2982</v>
      </c>
      <c r="N593" s="16" t="s">
        <v>2983</v>
      </c>
    </row>
    <row r="594" spans="1:14" ht="20.100000000000001" customHeight="1" x14ac:dyDescent="0.25">
      <c r="A594" s="15" t="s">
        <v>2984</v>
      </c>
      <c r="B594" s="16" t="s">
        <v>98</v>
      </c>
      <c r="C594" s="15">
        <v>8303660</v>
      </c>
      <c r="D594" s="16" t="s">
        <v>252</v>
      </c>
      <c r="E594" s="15" t="s">
        <v>2985</v>
      </c>
      <c r="F594" s="21" t="str">
        <f>HYPERLINK("https://psearch.kitsapgov.com/webappa/index.html?parcelID=1883263&amp;Theme=Imagery","1883263")</f>
        <v>1883263</v>
      </c>
      <c r="G594" s="16" t="s">
        <v>2986</v>
      </c>
      <c r="H594" s="17">
        <v>44879</v>
      </c>
      <c r="I594" s="18">
        <v>225000</v>
      </c>
      <c r="J594" s="19">
        <v>0</v>
      </c>
      <c r="L594" s="16" t="s">
        <v>20</v>
      </c>
      <c r="M594" s="16" t="s">
        <v>1600</v>
      </c>
      <c r="N594" s="16" t="s">
        <v>638</v>
      </c>
    </row>
    <row r="595" spans="1:14" ht="20.100000000000001" customHeight="1" x14ac:dyDescent="0.25">
      <c r="A595" s="15" t="s">
        <v>2987</v>
      </c>
      <c r="B595" s="16" t="s">
        <v>78</v>
      </c>
      <c r="C595" s="15">
        <v>8401508</v>
      </c>
      <c r="D595" s="16" t="s">
        <v>1341</v>
      </c>
      <c r="E595" s="15" t="s">
        <v>2988</v>
      </c>
      <c r="F595" s="21" t="str">
        <f>HYPERLINK("https://psearch.kitsapgov.com/webappa/index.html?parcelID=1279041&amp;Theme=Imagery","1279041")</f>
        <v>1279041</v>
      </c>
      <c r="G595" s="16" t="s">
        <v>2989</v>
      </c>
      <c r="H595" s="17">
        <v>44886</v>
      </c>
      <c r="I595" s="18">
        <v>770000</v>
      </c>
      <c r="J595" s="19">
        <v>2.2000000000000002</v>
      </c>
      <c r="K595" s="16" t="s">
        <v>37</v>
      </c>
      <c r="L595" s="16" t="s">
        <v>213</v>
      </c>
      <c r="M595" s="16" t="s">
        <v>2990</v>
      </c>
      <c r="N595" s="16" t="s">
        <v>2991</v>
      </c>
    </row>
    <row r="596" spans="1:14" ht="20.100000000000001" customHeight="1" x14ac:dyDescent="0.25">
      <c r="A596" s="15" t="s">
        <v>2992</v>
      </c>
      <c r="B596" s="16" t="s">
        <v>172</v>
      </c>
      <c r="C596" s="15">
        <v>9100541</v>
      </c>
      <c r="D596" s="16" t="s">
        <v>186</v>
      </c>
      <c r="E596" s="15" t="s">
        <v>2993</v>
      </c>
      <c r="F596" s="21" t="str">
        <f>HYPERLINK("https://psearch.kitsapgov.com/webappa/index.html?parcelID=1441401&amp;Theme=Imagery","1441401")</f>
        <v>1441401</v>
      </c>
      <c r="G596" s="16" t="s">
        <v>2994</v>
      </c>
      <c r="H596" s="17">
        <v>44888</v>
      </c>
      <c r="I596" s="18">
        <v>1750000</v>
      </c>
      <c r="J596" s="19">
        <v>0.17</v>
      </c>
      <c r="K596" s="16" t="s">
        <v>377</v>
      </c>
      <c r="L596" s="16" t="s">
        <v>38</v>
      </c>
      <c r="M596" s="16" t="s">
        <v>2995</v>
      </c>
      <c r="N596" s="16" t="s">
        <v>2996</v>
      </c>
    </row>
    <row r="597" spans="1:14" ht="20.100000000000001" customHeight="1" x14ac:dyDescent="0.25">
      <c r="A597" s="15" t="s">
        <v>2997</v>
      </c>
      <c r="B597" s="16" t="s">
        <v>159</v>
      </c>
      <c r="C597" s="15">
        <v>8100510</v>
      </c>
      <c r="D597" s="16" t="s">
        <v>106</v>
      </c>
      <c r="E597" s="15" t="s">
        <v>2998</v>
      </c>
      <c r="F597" s="21" t="str">
        <f>HYPERLINK("https://psearch.kitsapgov.com/webappa/index.html?parcelID=2102895&amp;Theme=Imagery","2102895")</f>
        <v>2102895</v>
      </c>
      <c r="G597" s="16" t="s">
        <v>2999</v>
      </c>
      <c r="H597" s="17">
        <v>44886</v>
      </c>
      <c r="I597" s="18">
        <v>275000</v>
      </c>
      <c r="J597" s="19">
        <v>0.11</v>
      </c>
      <c r="K597" s="16" t="s">
        <v>109</v>
      </c>
      <c r="L597" s="16" t="s">
        <v>20</v>
      </c>
      <c r="M597" s="16" t="s">
        <v>3000</v>
      </c>
      <c r="N597" s="16" t="s">
        <v>3001</v>
      </c>
    </row>
    <row r="598" spans="1:14" ht="20.100000000000001" customHeight="1" x14ac:dyDescent="0.25">
      <c r="A598" s="15" t="s">
        <v>3002</v>
      </c>
      <c r="B598" s="16" t="s">
        <v>1244</v>
      </c>
      <c r="C598" s="15">
        <v>8400204</v>
      </c>
      <c r="D598" s="16" t="s">
        <v>194</v>
      </c>
      <c r="E598" s="15" t="s">
        <v>3003</v>
      </c>
      <c r="F598" s="21" t="str">
        <f>HYPERLINK("https://psearch.kitsapgov.com/webappa/index.html?parcelID=1232065&amp;Theme=Imagery","1232065")</f>
        <v>1232065</v>
      </c>
      <c r="G598" s="16" t="s">
        <v>3004</v>
      </c>
      <c r="H598" s="17">
        <v>44887</v>
      </c>
      <c r="I598" s="18">
        <v>350000</v>
      </c>
      <c r="J598" s="19">
        <v>0.18</v>
      </c>
      <c r="K598" s="16" t="s">
        <v>82</v>
      </c>
      <c r="L598" s="16" t="s">
        <v>20</v>
      </c>
      <c r="M598" s="16" t="s">
        <v>3005</v>
      </c>
      <c r="N598" s="16" t="s">
        <v>3006</v>
      </c>
    </row>
    <row r="599" spans="1:14" ht="20.100000000000001" customHeight="1" x14ac:dyDescent="0.25">
      <c r="A599" s="15" t="s">
        <v>3007</v>
      </c>
      <c r="B599" s="16" t="s">
        <v>459</v>
      </c>
      <c r="C599" s="15">
        <v>8402307</v>
      </c>
      <c r="D599" s="16" t="s">
        <v>131</v>
      </c>
      <c r="E599" s="15" t="s">
        <v>3008</v>
      </c>
      <c r="F599" s="21" t="str">
        <f>HYPERLINK("https://psearch.kitsapgov.com/webappa/index.html?parcelID=2631281&amp;Theme=Imagery","2631281")</f>
        <v>2631281</v>
      </c>
      <c r="G599" s="16" t="s">
        <v>3009</v>
      </c>
      <c r="H599" s="17">
        <v>44895</v>
      </c>
      <c r="I599" s="18">
        <v>190000</v>
      </c>
      <c r="J599" s="19">
        <v>0.49</v>
      </c>
      <c r="K599" s="16" t="s">
        <v>515</v>
      </c>
      <c r="L599" s="16" t="s">
        <v>20</v>
      </c>
      <c r="M599" s="16" t="s">
        <v>3010</v>
      </c>
      <c r="N599" s="16" t="s">
        <v>2966</v>
      </c>
    </row>
    <row r="600" spans="1:14" ht="20.100000000000001" customHeight="1" x14ac:dyDescent="0.25">
      <c r="A600" s="15" t="s">
        <v>3011</v>
      </c>
      <c r="B600" s="16" t="s">
        <v>381</v>
      </c>
      <c r="C600" s="15">
        <v>8400301</v>
      </c>
      <c r="D600" s="16" t="s">
        <v>1850</v>
      </c>
      <c r="E600" s="15" t="s">
        <v>2897</v>
      </c>
      <c r="F600" s="21" t="str">
        <f>HYPERLINK("https://psearch.kitsapgov.com/webappa/index.html?parcelID=1582832&amp;Theme=Imagery","1582832")</f>
        <v>1582832</v>
      </c>
      <c r="G600" s="16" t="s">
        <v>2898</v>
      </c>
      <c r="H600" s="17">
        <v>44882</v>
      </c>
      <c r="I600" s="18">
        <v>1479000</v>
      </c>
      <c r="J600" s="19">
        <v>0.48</v>
      </c>
      <c r="K600" s="16" t="s">
        <v>1853</v>
      </c>
      <c r="L600" s="16" t="s">
        <v>20</v>
      </c>
      <c r="M600" s="16" t="s">
        <v>2900</v>
      </c>
      <c r="N600" s="16" t="s">
        <v>3012</v>
      </c>
    </row>
    <row r="601" spans="1:14" ht="20.100000000000001" customHeight="1" x14ac:dyDescent="0.25">
      <c r="A601" s="15" t="s">
        <v>3013</v>
      </c>
      <c r="B601" s="16" t="s">
        <v>78</v>
      </c>
      <c r="C601" s="15">
        <v>8401508</v>
      </c>
      <c r="D601" s="16" t="s">
        <v>1341</v>
      </c>
      <c r="E601" s="15" t="s">
        <v>2988</v>
      </c>
      <c r="F601" s="21" t="str">
        <f>HYPERLINK("https://psearch.kitsapgov.com/webappa/index.html?parcelID=1279041&amp;Theme=Imagery","1279041")</f>
        <v>1279041</v>
      </c>
      <c r="G601" s="16" t="s">
        <v>2989</v>
      </c>
      <c r="H601" s="17">
        <v>44893</v>
      </c>
      <c r="I601" s="18">
        <v>2085000</v>
      </c>
      <c r="J601" s="19">
        <v>2.2000000000000002</v>
      </c>
      <c r="K601" s="16" t="s">
        <v>37</v>
      </c>
      <c r="L601" s="16" t="s">
        <v>20</v>
      </c>
      <c r="M601" s="16" t="s">
        <v>3014</v>
      </c>
      <c r="N601" s="16" t="s">
        <v>3015</v>
      </c>
    </row>
    <row r="602" spans="1:14" ht="20.100000000000001" customHeight="1" x14ac:dyDescent="0.25">
      <c r="A602" s="15" t="s">
        <v>3016</v>
      </c>
      <c r="B602" s="16" t="s">
        <v>159</v>
      </c>
      <c r="C602" s="15">
        <v>9400304</v>
      </c>
      <c r="D602" s="16" t="s">
        <v>3017</v>
      </c>
      <c r="E602" s="15" t="s">
        <v>3018</v>
      </c>
      <c r="F602" s="21" t="str">
        <f>HYPERLINK("https://psearch.kitsapgov.com/webappa/index.html?parcelID=2050896&amp;Theme=Imagery","2050896")</f>
        <v>2050896</v>
      </c>
      <c r="G602" s="16" t="s">
        <v>3019</v>
      </c>
      <c r="H602" s="17">
        <v>44893</v>
      </c>
      <c r="I602" s="18">
        <v>1050000</v>
      </c>
      <c r="J602" s="19">
        <v>4.55</v>
      </c>
      <c r="K602" s="16" t="s">
        <v>205</v>
      </c>
      <c r="L602" s="16" t="s">
        <v>20</v>
      </c>
      <c r="M602" s="16" t="s">
        <v>3020</v>
      </c>
      <c r="N602" s="16" t="s">
        <v>3021</v>
      </c>
    </row>
    <row r="603" spans="1:14" ht="20.100000000000001" customHeight="1" x14ac:dyDescent="0.25">
      <c r="A603" s="15" t="s">
        <v>3022</v>
      </c>
      <c r="B603" s="16" t="s">
        <v>130</v>
      </c>
      <c r="C603" s="15">
        <v>8100502</v>
      </c>
      <c r="D603" s="16" t="s">
        <v>142</v>
      </c>
      <c r="E603" s="15" t="s">
        <v>3023</v>
      </c>
      <c r="F603" s="21" t="str">
        <f>HYPERLINK("https://psearch.kitsapgov.com/webappa/index.html?parcelID=2561058&amp;Theme=Imagery","2561058")</f>
        <v>2561058</v>
      </c>
      <c r="G603" s="16" t="s">
        <v>3024</v>
      </c>
      <c r="H603" s="17">
        <v>44874</v>
      </c>
      <c r="I603" s="18">
        <v>1684</v>
      </c>
      <c r="J603" s="19">
        <v>1.07</v>
      </c>
      <c r="K603" s="16" t="s">
        <v>145</v>
      </c>
      <c r="L603" s="16" t="s">
        <v>631</v>
      </c>
      <c r="M603" s="16" t="s">
        <v>3025</v>
      </c>
      <c r="N603" s="16" t="s">
        <v>907</v>
      </c>
    </row>
    <row r="604" spans="1:14" ht="20.100000000000001" customHeight="1" x14ac:dyDescent="0.25">
      <c r="A604" s="15" t="s">
        <v>3026</v>
      </c>
      <c r="B604" s="16" t="s">
        <v>24</v>
      </c>
      <c r="C604" s="15">
        <v>8402307</v>
      </c>
      <c r="D604" s="16" t="s">
        <v>131</v>
      </c>
      <c r="E604" s="15" t="s">
        <v>3027</v>
      </c>
      <c r="F604" s="21" t="str">
        <f>HYPERLINK("https://psearch.kitsapgov.com/webappa/index.html?parcelID=1513431&amp;Theme=Imagery","1513431")</f>
        <v>1513431</v>
      </c>
      <c r="G604" s="16" t="s">
        <v>3028</v>
      </c>
      <c r="H604" s="17">
        <v>44894</v>
      </c>
      <c r="I604" s="18">
        <v>550000</v>
      </c>
      <c r="J604" s="19">
        <v>0.41</v>
      </c>
      <c r="K604" s="16" t="s">
        <v>880</v>
      </c>
      <c r="L604" s="16" t="s">
        <v>38</v>
      </c>
      <c r="M604" s="16" t="s">
        <v>3029</v>
      </c>
      <c r="N604" s="16" t="s">
        <v>3030</v>
      </c>
    </row>
    <row r="605" spans="1:14" ht="20.100000000000001" customHeight="1" x14ac:dyDescent="0.25">
      <c r="A605" s="15" t="s">
        <v>3031</v>
      </c>
      <c r="B605" s="16" t="s">
        <v>285</v>
      </c>
      <c r="C605" s="15">
        <v>8402307</v>
      </c>
      <c r="D605" s="16" t="s">
        <v>131</v>
      </c>
      <c r="E605" s="15" t="s">
        <v>3032</v>
      </c>
      <c r="F605" s="21" t="str">
        <f>HYPERLINK("https://psearch.kitsapgov.com/webappa/index.html?parcelID=2075307&amp;Theme=Imagery","2075307")</f>
        <v>2075307</v>
      </c>
      <c r="G605" s="16" t="s">
        <v>3033</v>
      </c>
      <c r="H605" s="17">
        <v>44893</v>
      </c>
      <c r="I605" s="18">
        <v>900000</v>
      </c>
      <c r="J605" s="19">
        <v>0.7</v>
      </c>
      <c r="K605" s="16" t="s">
        <v>630</v>
      </c>
      <c r="L605" s="16" t="s">
        <v>20</v>
      </c>
      <c r="M605" s="16" t="s">
        <v>3034</v>
      </c>
      <c r="N605" s="16" t="s">
        <v>3035</v>
      </c>
    </row>
    <row r="606" spans="1:14" ht="20.100000000000001" customHeight="1" x14ac:dyDescent="0.25">
      <c r="A606" s="15" t="s">
        <v>3036</v>
      </c>
      <c r="B606" s="16" t="s">
        <v>533</v>
      </c>
      <c r="C606" s="15">
        <v>9100541</v>
      </c>
      <c r="D606" s="16" t="s">
        <v>186</v>
      </c>
      <c r="E606" s="15" t="s">
        <v>3037</v>
      </c>
      <c r="F606" s="21" t="str">
        <f>HYPERLINK("https://psearch.kitsapgov.com/webappa/index.html?parcelID=1456011&amp;Theme=Imagery","1456011")</f>
        <v>1456011</v>
      </c>
      <c r="G606" s="16" t="s">
        <v>3038</v>
      </c>
      <c r="H606" s="17">
        <v>44896</v>
      </c>
      <c r="I606" s="18">
        <v>950000</v>
      </c>
      <c r="J606" s="19">
        <v>0.16</v>
      </c>
      <c r="K606" s="16" t="s">
        <v>377</v>
      </c>
      <c r="L606" s="16" t="s">
        <v>20</v>
      </c>
      <c r="M606" s="16" t="s">
        <v>3039</v>
      </c>
      <c r="N606" s="16" t="s">
        <v>3040</v>
      </c>
    </row>
    <row r="607" spans="1:14" ht="20.100000000000001" customHeight="1" x14ac:dyDescent="0.25">
      <c r="A607" s="15" t="s">
        <v>3041</v>
      </c>
      <c r="B607" s="16" t="s">
        <v>98</v>
      </c>
      <c r="C607" s="15">
        <v>8400206</v>
      </c>
      <c r="D607" s="16" t="s">
        <v>99</v>
      </c>
      <c r="E607" s="15" t="s">
        <v>3042</v>
      </c>
      <c r="F607" s="21" t="str">
        <f>HYPERLINK("https://psearch.kitsapgov.com/webappa/index.html?parcelID=2071710&amp;Theme=Imagery","2071710")</f>
        <v>2071710</v>
      </c>
      <c r="G607" s="16" t="s">
        <v>248</v>
      </c>
      <c r="H607" s="17">
        <v>44908</v>
      </c>
      <c r="I607" s="18">
        <v>45000</v>
      </c>
      <c r="J607" s="19">
        <v>0</v>
      </c>
      <c r="L607" s="16" t="s">
        <v>20</v>
      </c>
      <c r="M607" s="16" t="s">
        <v>3043</v>
      </c>
      <c r="N607" s="16" t="s">
        <v>3044</v>
      </c>
    </row>
    <row r="608" spans="1:14" ht="20.100000000000001" customHeight="1" x14ac:dyDescent="0.25">
      <c r="A608" s="15" t="s">
        <v>3045</v>
      </c>
      <c r="B608" s="16" t="s">
        <v>159</v>
      </c>
      <c r="C608" s="15">
        <v>8100502</v>
      </c>
      <c r="D608" s="16" t="s">
        <v>142</v>
      </c>
      <c r="E608" s="15" t="s">
        <v>2596</v>
      </c>
      <c r="F608" s="21" t="str">
        <f>HYPERLINK("https://psearch.kitsapgov.com/webappa/index.html?parcelID=2416030&amp;Theme=Imagery","2416030")</f>
        <v>2416030</v>
      </c>
      <c r="G608" s="16" t="s">
        <v>2597</v>
      </c>
      <c r="H608" s="17">
        <v>44914</v>
      </c>
      <c r="I608" s="18">
        <v>1835000</v>
      </c>
      <c r="J608" s="19">
        <v>0.66</v>
      </c>
      <c r="K608" s="16" t="s">
        <v>168</v>
      </c>
      <c r="L608" s="16" t="s">
        <v>20</v>
      </c>
      <c r="M608" s="16" t="s">
        <v>2599</v>
      </c>
      <c r="N608" s="16" t="s">
        <v>3046</v>
      </c>
    </row>
    <row r="609" spans="1:14" ht="20.100000000000001" customHeight="1" x14ac:dyDescent="0.25">
      <c r="A609" s="15" t="s">
        <v>3047</v>
      </c>
      <c r="B609" s="16" t="s">
        <v>159</v>
      </c>
      <c r="C609" s="15">
        <v>8400201</v>
      </c>
      <c r="D609" s="16" t="s">
        <v>496</v>
      </c>
      <c r="E609" s="15" t="s">
        <v>3048</v>
      </c>
      <c r="F609" s="21" t="str">
        <f>HYPERLINK("https://psearch.kitsapgov.com/webappa/index.html?parcelID=1550649&amp;Theme=Imagery","1550649")</f>
        <v>1550649</v>
      </c>
      <c r="G609" s="16" t="s">
        <v>3049</v>
      </c>
      <c r="H609" s="17">
        <v>44908</v>
      </c>
      <c r="I609" s="18">
        <v>900000</v>
      </c>
      <c r="J609" s="19">
        <v>0.18</v>
      </c>
      <c r="K609" s="16" t="s">
        <v>499</v>
      </c>
      <c r="L609" s="16" t="s">
        <v>20</v>
      </c>
      <c r="M609" s="16" t="s">
        <v>3050</v>
      </c>
      <c r="N609" s="16" t="s">
        <v>3051</v>
      </c>
    </row>
    <row r="610" spans="1:14" ht="20.100000000000001" customHeight="1" x14ac:dyDescent="0.25">
      <c r="A610" s="15" t="s">
        <v>3052</v>
      </c>
      <c r="B610" s="16" t="s">
        <v>78</v>
      </c>
      <c r="C610" s="15">
        <v>8402307</v>
      </c>
      <c r="D610" s="16" t="s">
        <v>131</v>
      </c>
      <c r="E610" s="15" t="s">
        <v>1709</v>
      </c>
      <c r="F610" s="21" t="str">
        <f>HYPERLINK("https://psearch.kitsapgov.com/webappa/index.html?parcelID=1172105&amp;Theme=Imagery","1172105")</f>
        <v>1172105</v>
      </c>
      <c r="G610" s="16" t="s">
        <v>1710</v>
      </c>
      <c r="H610" s="17">
        <v>44887</v>
      </c>
      <c r="I610" s="18">
        <v>625000</v>
      </c>
      <c r="J610" s="19">
        <v>1.05</v>
      </c>
      <c r="K610" s="16" t="s">
        <v>276</v>
      </c>
      <c r="L610" s="16" t="s">
        <v>20</v>
      </c>
      <c r="M610" s="16" t="s">
        <v>1712</v>
      </c>
      <c r="N610" s="16" t="s">
        <v>3053</v>
      </c>
    </row>
    <row r="611" spans="1:14" ht="20.100000000000001" customHeight="1" x14ac:dyDescent="0.25">
      <c r="A611" s="15" t="s">
        <v>3054</v>
      </c>
      <c r="B611" s="16" t="s">
        <v>381</v>
      </c>
      <c r="C611" s="15">
        <v>8100510</v>
      </c>
      <c r="D611" s="16" t="s">
        <v>106</v>
      </c>
      <c r="E611" s="15" t="s">
        <v>3055</v>
      </c>
      <c r="F611" s="21" t="str">
        <f>HYPERLINK("https://psearch.kitsapgov.com/webappa/index.html?parcelID=1438530&amp;Theme=Imagery","1438530")</f>
        <v>1438530</v>
      </c>
      <c r="G611" s="16" t="s">
        <v>3056</v>
      </c>
      <c r="H611" s="17">
        <v>44914</v>
      </c>
      <c r="I611" s="18">
        <v>230000</v>
      </c>
      <c r="J611" s="19">
        <v>0.14000000000000001</v>
      </c>
      <c r="K611" s="16" t="s">
        <v>109</v>
      </c>
      <c r="L611" s="16" t="s">
        <v>20</v>
      </c>
      <c r="M611" s="16" t="s">
        <v>3057</v>
      </c>
      <c r="N611" s="16" t="s">
        <v>1567</v>
      </c>
    </row>
    <row r="612" spans="1:14" ht="20.100000000000001" customHeight="1" x14ac:dyDescent="0.25">
      <c r="A612" s="15" t="s">
        <v>3058</v>
      </c>
      <c r="B612" s="16" t="s">
        <v>105</v>
      </c>
      <c r="C612" s="15">
        <v>8401101</v>
      </c>
      <c r="D612" s="16" t="s">
        <v>305</v>
      </c>
      <c r="E612" s="15" t="s">
        <v>3059</v>
      </c>
      <c r="F612" s="21" t="str">
        <f>HYPERLINK("https://psearch.kitsapgov.com/webappa/index.html?parcelID=2627438&amp;Theme=Imagery","2627438")</f>
        <v>2627438</v>
      </c>
      <c r="G612" s="16" t="s">
        <v>3060</v>
      </c>
      <c r="H612" s="17">
        <v>44917</v>
      </c>
      <c r="I612" s="18">
        <v>1200000</v>
      </c>
      <c r="J612" s="19">
        <v>1.2</v>
      </c>
      <c r="K612" s="16" t="s">
        <v>308</v>
      </c>
      <c r="L612" s="16" t="s">
        <v>38</v>
      </c>
      <c r="M612" s="16" t="s">
        <v>3061</v>
      </c>
      <c r="N612" s="16" t="s">
        <v>3062</v>
      </c>
    </row>
    <row r="613" spans="1:14" ht="20.100000000000001" customHeight="1" x14ac:dyDescent="0.25">
      <c r="A613" s="15" t="s">
        <v>3063</v>
      </c>
      <c r="B613" s="16" t="s">
        <v>1044</v>
      </c>
      <c r="C613" s="15">
        <v>9100541</v>
      </c>
      <c r="D613" s="16" t="s">
        <v>186</v>
      </c>
      <c r="E613" s="15" t="s">
        <v>3064</v>
      </c>
      <c r="F613" s="21" t="str">
        <f>HYPERLINK("https://psearch.kitsapgov.com/webappa/index.html?parcelID=1149061&amp;Theme=Imagery","1149061")</f>
        <v>1149061</v>
      </c>
      <c r="G613" s="16" t="s">
        <v>3065</v>
      </c>
      <c r="H613" s="17">
        <v>44918</v>
      </c>
      <c r="I613" s="18">
        <v>2530000</v>
      </c>
      <c r="J613" s="19">
        <v>0.86</v>
      </c>
      <c r="K613" s="16" t="s">
        <v>168</v>
      </c>
      <c r="L613" s="16" t="s">
        <v>38</v>
      </c>
      <c r="M613" s="16" t="s">
        <v>3066</v>
      </c>
      <c r="N613" s="16" t="s">
        <v>3067</v>
      </c>
    </row>
    <row r="614" spans="1:14" ht="20.100000000000001" customHeight="1" x14ac:dyDescent="0.25">
      <c r="A614" s="15" t="s">
        <v>3068</v>
      </c>
      <c r="B614" s="16" t="s">
        <v>78</v>
      </c>
      <c r="C614" s="15">
        <v>8402305</v>
      </c>
      <c r="D614" s="16" t="s">
        <v>452</v>
      </c>
      <c r="E614" s="15" t="s">
        <v>3069</v>
      </c>
      <c r="F614" s="21" t="str">
        <f>HYPERLINK("https://psearch.kitsapgov.com/webappa/index.html?parcelID=1171495&amp;Theme=Imagery","1171495")</f>
        <v>1171495</v>
      </c>
      <c r="G614" s="16" t="s">
        <v>3070</v>
      </c>
      <c r="H614" s="17">
        <v>44917</v>
      </c>
      <c r="I614" s="18">
        <v>400000</v>
      </c>
      <c r="J614" s="19">
        <v>1.74</v>
      </c>
      <c r="K614" s="16" t="s">
        <v>368</v>
      </c>
      <c r="L614" s="16" t="s">
        <v>20</v>
      </c>
      <c r="M614" s="16" t="s">
        <v>3071</v>
      </c>
      <c r="N614" s="16" t="s">
        <v>3072</v>
      </c>
    </row>
    <row r="615" spans="1:14" ht="20.100000000000001" customHeight="1" x14ac:dyDescent="0.25">
      <c r="A615" s="15" t="s">
        <v>3073</v>
      </c>
      <c r="B615" s="16" t="s">
        <v>62</v>
      </c>
      <c r="C615" s="15">
        <v>8400203</v>
      </c>
      <c r="D615" s="16" t="s">
        <v>353</v>
      </c>
      <c r="E615" s="15" t="s">
        <v>3074</v>
      </c>
      <c r="F615" s="21" t="str">
        <f>HYPERLINK("https://psearch.kitsapgov.com/webappa/index.html?parcelID=1334770&amp;Theme=Imagery","1334770")</f>
        <v>1334770</v>
      </c>
      <c r="G615" s="16" t="s">
        <v>3075</v>
      </c>
      <c r="H615" s="17">
        <v>44909</v>
      </c>
      <c r="I615" s="18">
        <v>370000</v>
      </c>
      <c r="J615" s="19">
        <v>0.68</v>
      </c>
      <c r="K615" s="16" t="s">
        <v>356</v>
      </c>
      <c r="L615" s="16" t="s">
        <v>20</v>
      </c>
      <c r="M615" s="16" t="s">
        <v>3076</v>
      </c>
      <c r="N615" s="16" t="s">
        <v>3077</v>
      </c>
    </row>
    <row r="616" spans="1:14" ht="20.100000000000001" customHeight="1" x14ac:dyDescent="0.25">
      <c r="A616" s="15" t="s">
        <v>3078</v>
      </c>
      <c r="B616" s="16" t="s">
        <v>2584</v>
      </c>
      <c r="C616" s="15">
        <v>8402405</v>
      </c>
      <c r="D616" s="16" t="s">
        <v>71</v>
      </c>
      <c r="E616" s="15" t="s">
        <v>3079</v>
      </c>
      <c r="F616" s="21" t="str">
        <f>HYPERLINK("https://psearch.kitsapgov.com/webappa/index.html?parcelID=2685873&amp;Theme=Imagery","2685873")</f>
        <v>2685873</v>
      </c>
      <c r="G616" s="16" t="s">
        <v>3019</v>
      </c>
      <c r="H616" s="17">
        <v>44916</v>
      </c>
      <c r="I616" s="18">
        <v>1225401</v>
      </c>
      <c r="J616" s="19">
        <v>9.3800000000000008</v>
      </c>
      <c r="K616" s="16" t="s">
        <v>74</v>
      </c>
      <c r="L616" s="16" t="s">
        <v>2587</v>
      </c>
      <c r="M616" s="16" t="s">
        <v>3080</v>
      </c>
      <c r="N616" s="16" t="s">
        <v>3081</v>
      </c>
    </row>
    <row r="617" spans="1:14" ht="20.100000000000001" customHeight="1" x14ac:dyDescent="0.25">
      <c r="A617" s="15" t="s">
        <v>3082</v>
      </c>
      <c r="B617" s="16" t="s">
        <v>984</v>
      </c>
      <c r="C617" s="15">
        <v>8400207</v>
      </c>
      <c r="D617" s="16" t="s">
        <v>298</v>
      </c>
      <c r="E617" s="15" t="s">
        <v>3083</v>
      </c>
      <c r="F617" s="21" t="str">
        <f>HYPERLINK("https://psearch.kitsapgov.com/webappa/index.html?parcelID=2646230&amp;Theme=Imagery","2646230")</f>
        <v>2646230</v>
      </c>
      <c r="G617" s="16" t="s">
        <v>3084</v>
      </c>
      <c r="H617" s="17">
        <v>44922</v>
      </c>
      <c r="I617" s="18">
        <v>572500</v>
      </c>
      <c r="J617" s="19">
        <v>0.1</v>
      </c>
      <c r="K617" s="16" t="s">
        <v>1017</v>
      </c>
      <c r="L617" s="16" t="s">
        <v>20</v>
      </c>
      <c r="M617" s="16" t="s">
        <v>1018</v>
      </c>
      <c r="N617" s="16" t="s">
        <v>1370</v>
      </c>
    </row>
    <row r="618" spans="1:14" ht="20.100000000000001" customHeight="1" x14ac:dyDescent="0.25">
      <c r="A618" s="15" t="s">
        <v>3085</v>
      </c>
      <c r="B618" s="16" t="s">
        <v>98</v>
      </c>
      <c r="C618" s="15">
        <v>8303660</v>
      </c>
      <c r="D618" s="16" t="s">
        <v>252</v>
      </c>
      <c r="E618" s="15" t="s">
        <v>3086</v>
      </c>
      <c r="F618" s="21" t="str">
        <f>HYPERLINK("https://psearch.kitsapgov.com/webappa/index.html?parcelID=1882190&amp;Theme=Imagery","1882190")</f>
        <v>1882190</v>
      </c>
      <c r="G618" s="16" t="s">
        <v>3087</v>
      </c>
      <c r="H618" s="17">
        <v>44922</v>
      </c>
      <c r="I618" s="18">
        <v>100000</v>
      </c>
      <c r="J618" s="19">
        <v>0</v>
      </c>
      <c r="L618" s="16" t="s">
        <v>944</v>
      </c>
      <c r="M618" s="16" t="s">
        <v>3088</v>
      </c>
      <c r="N618" s="16" t="s">
        <v>3089</v>
      </c>
    </row>
    <row r="619" spans="1:14" ht="20.100000000000001" customHeight="1" x14ac:dyDescent="0.25">
      <c r="A619" s="15" t="s">
        <v>3090</v>
      </c>
      <c r="B619" s="16" t="s">
        <v>70</v>
      </c>
      <c r="C619" s="15">
        <v>8402405</v>
      </c>
      <c r="D619" s="16" t="s">
        <v>71</v>
      </c>
      <c r="E619" s="15" t="s">
        <v>3091</v>
      </c>
      <c r="F619" s="21" t="str">
        <f>HYPERLINK("https://psearch.kitsapgov.com/webappa/index.html?parcelID=2217651&amp;Theme=Imagery","2217651")</f>
        <v>2217651</v>
      </c>
      <c r="G619" s="16" t="s">
        <v>3092</v>
      </c>
      <c r="H619" s="17">
        <v>44924</v>
      </c>
      <c r="I619" s="18">
        <v>440000</v>
      </c>
      <c r="J619" s="19">
        <v>0.62</v>
      </c>
      <c r="K619" s="16" t="s">
        <v>2040</v>
      </c>
      <c r="L619" s="16" t="s">
        <v>38</v>
      </c>
      <c r="M619" s="16" t="s">
        <v>3093</v>
      </c>
      <c r="N619" s="16" t="s">
        <v>3094</v>
      </c>
    </row>
    <row r="620" spans="1:14" ht="20.100000000000001" customHeight="1" x14ac:dyDescent="0.25">
      <c r="A620" s="15" t="s">
        <v>3095</v>
      </c>
      <c r="B620" s="16" t="s">
        <v>209</v>
      </c>
      <c r="C620" s="15">
        <v>8400301</v>
      </c>
      <c r="D620" s="16" t="s">
        <v>1850</v>
      </c>
      <c r="E620" s="15" t="s">
        <v>3096</v>
      </c>
      <c r="F620" s="21" t="str">
        <f>HYPERLINK("https://psearch.kitsapgov.com/webappa/index.html?parcelID=1582105&amp;Theme=Imagery","1582105")</f>
        <v>1582105</v>
      </c>
      <c r="G620" s="16" t="s">
        <v>3097</v>
      </c>
      <c r="H620" s="17">
        <v>44907</v>
      </c>
      <c r="I620" s="18">
        <v>9400</v>
      </c>
      <c r="J620" s="19">
        <v>0.5</v>
      </c>
      <c r="K620" s="16" t="s">
        <v>1853</v>
      </c>
      <c r="L620" s="16" t="s">
        <v>232</v>
      </c>
      <c r="M620" s="16" t="s">
        <v>3098</v>
      </c>
      <c r="N620" s="16" t="s">
        <v>234</v>
      </c>
    </row>
    <row r="621" spans="1:14" ht="20.100000000000001" customHeight="1" x14ac:dyDescent="0.25">
      <c r="A621" s="15" t="s">
        <v>3099</v>
      </c>
      <c r="B621" s="16" t="s">
        <v>159</v>
      </c>
      <c r="C621" s="15">
        <v>8401101</v>
      </c>
      <c r="D621" s="16" t="s">
        <v>305</v>
      </c>
      <c r="E621" s="15" t="s">
        <v>3100</v>
      </c>
      <c r="F621" s="21" t="str">
        <f>HYPERLINK("https://psearch.kitsapgov.com/webappa/index.html?parcelID=2109890&amp;Theme=Imagery","2109890")</f>
        <v>2109890</v>
      </c>
      <c r="G621" s="16" t="s">
        <v>3101</v>
      </c>
      <c r="H621" s="17">
        <v>44943</v>
      </c>
      <c r="I621" s="18">
        <v>5000000</v>
      </c>
      <c r="J621" s="19">
        <v>2.61</v>
      </c>
      <c r="K621" s="16" t="s">
        <v>308</v>
      </c>
      <c r="L621" s="16" t="s">
        <v>20</v>
      </c>
      <c r="M621" s="16" t="s">
        <v>3102</v>
      </c>
      <c r="N621" s="16" t="s">
        <v>3103</v>
      </c>
    </row>
    <row r="622" spans="1:14" ht="20.100000000000001" customHeight="1" x14ac:dyDescent="0.25">
      <c r="A622" s="15" t="s">
        <v>3104</v>
      </c>
      <c r="B622" s="16" t="s">
        <v>105</v>
      </c>
      <c r="C622" s="15">
        <v>8401101</v>
      </c>
      <c r="D622" s="16" t="s">
        <v>305</v>
      </c>
      <c r="E622" s="15" t="s">
        <v>3105</v>
      </c>
      <c r="F622" s="21" t="str">
        <f>HYPERLINK("https://psearch.kitsapgov.com/webappa/index.html?parcelID=2520054&amp;Theme=Imagery","2520054")</f>
        <v>2520054</v>
      </c>
      <c r="G622" s="16" t="s">
        <v>3106</v>
      </c>
      <c r="H622" s="17">
        <v>44943</v>
      </c>
      <c r="I622" s="18">
        <v>609000</v>
      </c>
      <c r="J622" s="19">
        <v>1.1399999999999999</v>
      </c>
      <c r="K622" s="16" t="s">
        <v>308</v>
      </c>
      <c r="L622" s="16" t="s">
        <v>38</v>
      </c>
      <c r="M622" s="16" t="s">
        <v>2694</v>
      </c>
      <c r="N622" s="16" t="s">
        <v>3107</v>
      </c>
    </row>
    <row r="623" spans="1:14" ht="20.100000000000001" customHeight="1" x14ac:dyDescent="0.25">
      <c r="A623" s="15" t="s">
        <v>3108</v>
      </c>
      <c r="B623" s="16" t="s">
        <v>98</v>
      </c>
      <c r="C623" s="15">
        <v>8303660</v>
      </c>
      <c r="D623" s="16" t="s">
        <v>252</v>
      </c>
      <c r="E623" s="15" t="s">
        <v>3109</v>
      </c>
      <c r="F623" s="21" t="str">
        <f>HYPERLINK("https://psearch.kitsapgov.com/webappa/index.html?parcelID=1882117&amp;Theme=Imagery","1882117")</f>
        <v>1882117</v>
      </c>
      <c r="G623" s="16" t="s">
        <v>3110</v>
      </c>
      <c r="H623" s="17">
        <v>44938</v>
      </c>
      <c r="I623" s="18">
        <v>122000</v>
      </c>
      <c r="J623" s="19">
        <v>0</v>
      </c>
      <c r="L623" s="16" t="s">
        <v>20</v>
      </c>
      <c r="M623" s="16" t="s">
        <v>3111</v>
      </c>
      <c r="N623" s="16" t="s">
        <v>3112</v>
      </c>
    </row>
    <row r="624" spans="1:14" ht="20.100000000000001" customHeight="1" x14ac:dyDescent="0.25">
      <c r="A624" s="15" t="s">
        <v>3113</v>
      </c>
      <c r="B624" s="16" t="s">
        <v>984</v>
      </c>
      <c r="C624" s="15">
        <v>8400207</v>
      </c>
      <c r="D624" s="16" t="s">
        <v>298</v>
      </c>
      <c r="E624" s="15" t="s">
        <v>3114</v>
      </c>
      <c r="F624" s="21" t="str">
        <f>HYPERLINK("https://psearch.kitsapgov.com/webappa/index.html?parcelID=2646248&amp;Theme=Imagery","2646248")</f>
        <v>2646248</v>
      </c>
      <c r="G624" s="16" t="s">
        <v>3115</v>
      </c>
      <c r="H624" s="17">
        <v>44950</v>
      </c>
      <c r="I624" s="18">
        <v>800000</v>
      </c>
      <c r="J624" s="19">
        <v>0.1</v>
      </c>
      <c r="K624" s="16" t="s">
        <v>1017</v>
      </c>
      <c r="L624" s="16" t="s">
        <v>213</v>
      </c>
      <c r="M624" s="16" t="s">
        <v>1018</v>
      </c>
      <c r="N624" s="16" t="s">
        <v>3116</v>
      </c>
    </row>
    <row r="625" spans="1:14" ht="20.100000000000001" customHeight="1" x14ac:dyDescent="0.25">
      <c r="A625" s="15" t="s">
        <v>3117</v>
      </c>
      <c r="B625" s="16" t="s">
        <v>98</v>
      </c>
      <c r="C625" s="15">
        <v>8303660</v>
      </c>
      <c r="D625" s="16" t="s">
        <v>252</v>
      </c>
      <c r="E625" s="15" t="s">
        <v>3118</v>
      </c>
      <c r="F625" s="21" t="str">
        <f>HYPERLINK("https://psearch.kitsapgov.com/webappa/index.html?parcelID=1882380&amp;Theme=Imagery","1882380")</f>
        <v>1882380</v>
      </c>
      <c r="G625" s="16" t="s">
        <v>3119</v>
      </c>
      <c r="H625" s="17">
        <v>44953</v>
      </c>
      <c r="I625" s="18">
        <v>115000</v>
      </c>
      <c r="J625" s="19">
        <v>0</v>
      </c>
      <c r="L625" s="16" t="s">
        <v>20</v>
      </c>
      <c r="M625" s="16" t="s">
        <v>3120</v>
      </c>
      <c r="N625" s="16" t="s">
        <v>3121</v>
      </c>
    </row>
    <row r="626" spans="1:14" ht="20.100000000000001" customHeight="1" x14ac:dyDescent="0.25">
      <c r="A626" s="15" t="s">
        <v>3122</v>
      </c>
      <c r="B626" s="16" t="s">
        <v>105</v>
      </c>
      <c r="C626" s="15">
        <v>8402405</v>
      </c>
      <c r="D626" s="16" t="s">
        <v>71</v>
      </c>
      <c r="E626" s="15" t="s">
        <v>3123</v>
      </c>
      <c r="F626" s="21" t="str">
        <f>HYPERLINK("https://psearch.kitsapgov.com/webappa/index.html?parcelID=2261766&amp;Theme=Imagery","2261766")</f>
        <v>2261766</v>
      </c>
      <c r="G626" s="16" t="s">
        <v>3124</v>
      </c>
      <c r="H626" s="17">
        <v>44956</v>
      </c>
      <c r="I626" s="18">
        <v>250000</v>
      </c>
      <c r="J626" s="19">
        <v>0.38</v>
      </c>
      <c r="K626" s="16" t="s">
        <v>82</v>
      </c>
      <c r="L626" s="16" t="s">
        <v>213</v>
      </c>
      <c r="M626" s="16" t="s">
        <v>3125</v>
      </c>
      <c r="N626" s="16" t="s">
        <v>3126</v>
      </c>
    </row>
    <row r="627" spans="1:14" ht="20.100000000000001" customHeight="1" x14ac:dyDescent="0.25">
      <c r="A627" s="15" t="s">
        <v>3127</v>
      </c>
      <c r="B627" s="16" t="s">
        <v>229</v>
      </c>
      <c r="C627" s="15">
        <v>9402390</v>
      </c>
      <c r="D627" s="16" t="s">
        <v>173</v>
      </c>
      <c r="E627" s="15" t="s">
        <v>230</v>
      </c>
      <c r="F627" s="21" t="str">
        <f>HYPERLINK("https://psearch.kitsapgov.com/webappa/index.html?parcelID=1033604&amp;Theme=Imagery","1033604")</f>
        <v>1033604</v>
      </c>
      <c r="G627" s="16" t="s">
        <v>231</v>
      </c>
      <c r="H627" s="17">
        <v>44957</v>
      </c>
      <c r="I627" s="18">
        <v>6200000</v>
      </c>
      <c r="J627" s="19">
        <v>2.09</v>
      </c>
      <c r="K627" s="16" t="s">
        <v>176</v>
      </c>
      <c r="L627" s="16" t="s">
        <v>20</v>
      </c>
      <c r="M627" s="16" t="s">
        <v>805</v>
      </c>
      <c r="N627" s="16" t="s">
        <v>3128</v>
      </c>
    </row>
    <row r="628" spans="1:14" ht="20.100000000000001" customHeight="1" x14ac:dyDescent="0.25">
      <c r="A628" s="15" t="s">
        <v>3129</v>
      </c>
      <c r="B628" s="16" t="s">
        <v>105</v>
      </c>
      <c r="C628" s="15">
        <v>9100541</v>
      </c>
      <c r="D628" s="16" t="s">
        <v>186</v>
      </c>
      <c r="E628" s="15" t="s">
        <v>3130</v>
      </c>
      <c r="F628" s="21" t="str">
        <f>HYPERLINK("https://psearch.kitsapgov.com/webappa/index.html?parcelID=1139385&amp;Theme=Imagery","1139385")</f>
        <v>1139385</v>
      </c>
      <c r="G628" s="16" t="s">
        <v>3131</v>
      </c>
      <c r="H628" s="17">
        <v>44909</v>
      </c>
      <c r="I628" s="18">
        <v>30000</v>
      </c>
      <c r="J628" s="19">
        <v>0.09</v>
      </c>
      <c r="K628" s="16" t="s">
        <v>863</v>
      </c>
      <c r="L628" s="16" t="s">
        <v>94</v>
      </c>
      <c r="M628" s="16" t="s">
        <v>3132</v>
      </c>
      <c r="N628" s="16" t="s">
        <v>2261</v>
      </c>
    </row>
    <row r="629" spans="1:14" ht="20.100000000000001" customHeight="1" x14ac:dyDescent="0.25">
      <c r="A629" s="15" t="s">
        <v>3133</v>
      </c>
      <c r="B629" s="16" t="s">
        <v>98</v>
      </c>
      <c r="C629" s="15">
        <v>8400206</v>
      </c>
      <c r="D629" s="16" t="s">
        <v>99</v>
      </c>
      <c r="E629" s="15" t="s">
        <v>3134</v>
      </c>
      <c r="F629" s="21" t="str">
        <f>HYPERLINK("https://psearch.kitsapgov.com/webappa/index.html?parcelID=2071272&amp;Theme=Imagery","2071272")</f>
        <v>2071272</v>
      </c>
      <c r="G629" s="16" t="s">
        <v>337</v>
      </c>
      <c r="H629" s="17">
        <v>44959</v>
      </c>
      <c r="I629" s="18">
        <v>75000</v>
      </c>
      <c r="J629" s="19">
        <v>0</v>
      </c>
      <c r="L629" s="16" t="s">
        <v>94</v>
      </c>
      <c r="M629" s="16" t="s">
        <v>3135</v>
      </c>
      <c r="N629" s="16" t="s">
        <v>3136</v>
      </c>
    </row>
    <row r="630" spans="1:14" ht="20.100000000000001" customHeight="1" x14ac:dyDescent="0.25">
      <c r="A630" s="15" t="s">
        <v>3137</v>
      </c>
      <c r="B630" s="16" t="s">
        <v>560</v>
      </c>
      <c r="C630" s="15">
        <v>8402405</v>
      </c>
      <c r="D630" s="16" t="s">
        <v>71</v>
      </c>
      <c r="E630" s="15" t="s">
        <v>3138</v>
      </c>
      <c r="F630" s="21" t="str">
        <f>HYPERLINK("https://psearch.kitsapgov.com/webappa/index.html?parcelID=2455897&amp;Theme=Imagery","2455897")</f>
        <v>2455897</v>
      </c>
      <c r="G630" s="16" t="s">
        <v>3139</v>
      </c>
      <c r="H630" s="17">
        <v>44960</v>
      </c>
      <c r="I630" s="18">
        <v>60000</v>
      </c>
      <c r="J630" s="19">
        <v>0</v>
      </c>
      <c r="L630" s="16" t="s">
        <v>944</v>
      </c>
      <c r="M630" s="16" t="s">
        <v>3140</v>
      </c>
      <c r="N630" s="16" t="s">
        <v>3141</v>
      </c>
    </row>
    <row r="631" spans="1:14" ht="20.100000000000001" customHeight="1" x14ac:dyDescent="0.25">
      <c r="A631" s="15" t="s">
        <v>3142</v>
      </c>
      <c r="B631" s="16" t="s">
        <v>159</v>
      </c>
      <c r="C631" s="15">
        <v>8400203</v>
      </c>
      <c r="D631" s="16" t="s">
        <v>353</v>
      </c>
      <c r="E631" s="15" t="s">
        <v>2128</v>
      </c>
      <c r="F631" s="21" t="str">
        <f>HYPERLINK("https://psearch.kitsapgov.com/webappa/index.html?parcelID=1334432&amp;Theme=Imagery","1334432")</f>
        <v>1334432</v>
      </c>
      <c r="G631" s="16" t="s">
        <v>2129</v>
      </c>
      <c r="H631" s="17">
        <v>44964</v>
      </c>
      <c r="I631" s="18">
        <v>1100000</v>
      </c>
      <c r="J631" s="19">
        <v>1.25</v>
      </c>
      <c r="K631" s="16" t="s">
        <v>356</v>
      </c>
      <c r="L631" s="16" t="s">
        <v>20</v>
      </c>
      <c r="M631" s="16" t="s">
        <v>2131</v>
      </c>
      <c r="N631" s="16" t="s">
        <v>3143</v>
      </c>
    </row>
    <row r="632" spans="1:14" ht="20.100000000000001" customHeight="1" x14ac:dyDescent="0.25">
      <c r="A632" s="15" t="s">
        <v>3144</v>
      </c>
      <c r="B632" s="16" t="s">
        <v>159</v>
      </c>
      <c r="C632" s="15">
        <v>8402408</v>
      </c>
      <c r="D632" s="16" t="s">
        <v>160</v>
      </c>
      <c r="E632" s="15" t="s">
        <v>3145</v>
      </c>
      <c r="F632" s="21" t="str">
        <f>HYPERLINK("https://psearch.kitsapgov.com/webappa/index.html?parcelID=1965920&amp;Theme=Imagery","1965920")</f>
        <v>1965920</v>
      </c>
      <c r="G632" s="16" t="s">
        <v>3146</v>
      </c>
      <c r="H632" s="17">
        <v>44966</v>
      </c>
      <c r="I632" s="18">
        <v>700000</v>
      </c>
      <c r="J632" s="19">
        <v>0.32</v>
      </c>
      <c r="K632" s="16" t="s">
        <v>37</v>
      </c>
      <c r="L632" s="16" t="s">
        <v>38</v>
      </c>
      <c r="M632" s="16" t="s">
        <v>3147</v>
      </c>
      <c r="N632" s="16" t="s">
        <v>3148</v>
      </c>
    </row>
    <row r="633" spans="1:14" ht="20.100000000000001" customHeight="1" x14ac:dyDescent="0.25">
      <c r="A633" s="15" t="s">
        <v>3149</v>
      </c>
      <c r="B633" s="16" t="s">
        <v>78</v>
      </c>
      <c r="C633" s="15">
        <v>8402307</v>
      </c>
      <c r="D633" s="16" t="s">
        <v>131</v>
      </c>
      <c r="E633" s="15" t="s">
        <v>3150</v>
      </c>
      <c r="F633" s="21" t="str">
        <f>HYPERLINK("https://psearch.kitsapgov.com/webappa/index.html?parcelID=1730100&amp;Theme=Imagery","1730100")</f>
        <v>1730100</v>
      </c>
      <c r="G633" s="16" t="s">
        <v>3151</v>
      </c>
      <c r="H633" s="17">
        <v>44970</v>
      </c>
      <c r="I633" s="18">
        <v>500000</v>
      </c>
      <c r="J633" s="19">
        <v>1.05</v>
      </c>
      <c r="K633" s="16" t="s">
        <v>276</v>
      </c>
      <c r="L633" s="16" t="s">
        <v>38</v>
      </c>
      <c r="M633" s="16" t="s">
        <v>3152</v>
      </c>
      <c r="N633" s="16" t="s">
        <v>3153</v>
      </c>
    </row>
    <row r="634" spans="1:14" ht="20.100000000000001" customHeight="1" x14ac:dyDescent="0.25">
      <c r="A634" s="15" t="s">
        <v>3154</v>
      </c>
      <c r="B634" s="16" t="s">
        <v>78</v>
      </c>
      <c r="C634" s="15">
        <v>8100501</v>
      </c>
      <c r="D634" s="16" t="s">
        <v>63</v>
      </c>
      <c r="E634" s="15" t="s">
        <v>708</v>
      </c>
      <c r="F634" s="21" t="str">
        <f>HYPERLINK("https://psearch.kitsapgov.com/webappa/index.html?parcelID=1426733&amp;Theme=Imagery","1426733")</f>
        <v>1426733</v>
      </c>
      <c r="G634" s="16" t="s">
        <v>709</v>
      </c>
      <c r="H634" s="17">
        <v>44967</v>
      </c>
      <c r="I634" s="18">
        <v>515000</v>
      </c>
      <c r="J634" s="19">
        <v>7.0000000000000007E-2</v>
      </c>
      <c r="K634" s="16" t="s">
        <v>93</v>
      </c>
      <c r="L634" s="16" t="s">
        <v>20</v>
      </c>
      <c r="M634" s="16" t="s">
        <v>3155</v>
      </c>
      <c r="N634" s="16" t="s">
        <v>3156</v>
      </c>
    </row>
    <row r="635" spans="1:14" ht="20.100000000000001" customHeight="1" x14ac:dyDescent="0.25">
      <c r="A635" s="15" t="s">
        <v>3157</v>
      </c>
      <c r="B635" s="16" t="s">
        <v>70</v>
      </c>
      <c r="C635" s="15">
        <v>8100506</v>
      </c>
      <c r="D635" s="16" t="s">
        <v>286</v>
      </c>
      <c r="E635" s="15" t="s">
        <v>3158</v>
      </c>
      <c r="F635" s="21" t="str">
        <f>HYPERLINK("https://psearch.kitsapgov.com/webappa/index.html?parcelID=1104454&amp;Theme=Imagery","1104454")</f>
        <v>1104454</v>
      </c>
      <c r="G635" s="16" t="s">
        <v>3159</v>
      </c>
      <c r="H635" s="17">
        <v>44971</v>
      </c>
      <c r="I635" s="18">
        <v>2085000</v>
      </c>
      <c r="J635" s="19">
        <v>2.0099999999999998</v>
      </c>
      <c r="K635" s="16" t="s">
        <v>168</v>
      </c>
      <c r="L635" s="16" t="s">
        <v>38</v>
      </c>
      <c r="M635" s="16" t="s">
        <v>3160</v>
      </c>
      <c r="N635" s="16" t="s">
        <v>3161</v>
      </c>
    </row>
    <row r="636" spans="1:14" ht="20.100000000000001" customHeight="1" x14ac:dyDescent="0.25">
      <c r="A636" s="15" t="s">
        <v>3162</v>
      </c>
      <c r="B636" s="16" t="s">
        <v>98</v>
      </c>
      <c r="C636" s="15">
        <v>8400206</v>
      </c>
      <c r="D636" s="16" t="s">
        <v>99</v>
      </c>
      <c r="E636" s="15" t="s">
        <v>3163</v>
      </c>
      <c r="F636" s="21" t="str">
        <f>HYPERLINK("https://psearch.kitsapgov.com/webappa/index.html?parcelID=2071736&amp;Theme=Imagery","2071736")</f>
        <v>2071736</v>
      </c>
      <c r="G636" s="16" t="s">
        <v>248</v>
      </c>
      <c r="H636" s="17">
        <v>44970</v>
      </c>
      <c r="I636" s="18">
        <v>45000</v>
      </c>
      <c r="J636" s="19">
        <v>0</v>
      </c>
      <c r="L636" s="16" t="s">
        <v>20</v>
      </c>
      <c r="M636" s="16" t="s">
        <v>3164</v>
      </c>
      <c r="N636" s="16" t="s">
        <v>3165</v>
      </c>
    </row>
    <row r="637" spans="1:14" ht="20.100000000000001" customHeight="1" x14ac:dyDescent="0.25">
      <c r="A637" s="15" t="s">
        <v>3166</v>
      </c>
      <c r="B637" s="16" t="s">
        <v>105</v>
      </c>
      <c r="C637" s="15">
        <v>8402307</v>
      </c>
      <c r="D637" s="16" t="s">
        <v>131</v>
      </c>
      <c r="E637" s="15" t="s">
        <v>3167</v>
      </c>
      <c r="F637" s="21" t="str">
        <f>HYPERLINK("https://psearch.kitsapgov.com/webappa/index.html?parcelID=1039171&amp;Theme=Imagery","1039171")</f>
        <v>1039171</v>
      </c>
      <c r="G637" s="16" t="s">
        <v>3168</v>
      </c>
      <c r="H637" s="17">
        <v>44973</v>
      </c>
      <c r="I637" s="18">
        <v>82600</v>
      </c>
      <c r="J637" s="19">
        <v>1.65</v>
      </c>
      <c r="K637" s="16" t="s">
        <v>37</v>
      </c>
      <c r="L637" s="16" t="s">
        <v>406</v>
      </c>
      <c r="M637" s="16" t="s">
        <v>2372</v>
      </c>
      <c r="N637" s="16" t="s">
        <v>3169</v>
      </c>
    </row>
    <row r="638" spans="1:14" ht="20.100000000000001" customHeight="1" x14ac:dyDescent="0.25">
      <c r="A638" s="15" t="s">
        <v>3170</v>
      </c>
      <c r="B638" s="16" t="s">
        <v>130</v>
      </c>
      <c r="C638" s="15">
        <v>8402405</v>
      </c>
      <c r="D638" s="16" t="s">
        <v>71</v>
      </c>
      <c r="E638" s="15" t="s">
        <v>3171</v>
      </c>
      <c r="F638" s="21" t="str">
        <f>HYPERLINK("https://psearch.kitsapgov.com/webappa/index.html?parcelID=1079730&amp;Theme=Imagery","1079730")</f>
        <v>1079730</v>
      </c>
      <c r="G638" s="16" t="s">
        <v>3172</v>
      </c>
      <c r="H638" s="17">
        <v>44972</v>
      </c>
      <c r="I638" s="18">
        <v>85000</v>
      </c>
      <c r="J638" s="19">
        <v>0.6</v>
      </c>
      <c r="K638" s="16" t="s">
        <v>82</v>
      </c>
      <c r="L638" s="16" t="s">
        <v>20</v>
      </c>
      <c r="M638" s="16" t="s">
        <v>3173</v>
      </c>
      <c r="N638" s="16" t="s">
        <v>3174</v>
      </c>
    </row>
    <row r="639" spans="1:14" ht="20.100000000000001" customHeight="1" x14ac:dyDescent="0.25">
      <c r="A639" s="15" t="s">
        <v>3175</v>
      </c>
      <c r="B639" s="16" t="s">
        <v>984</v>
      </c>
      <c r="C639" s="15">
        <v>8303601</v>
      </c>
      <c r="D639" s="16" t="s">
        <v>25</v>
      </c>
      <c r="E639" s="15" t="s">
        <v>3176</v>
      </c>
      <c r="F639" s="21" t="str">
        <f>HYPERLINK("https://psearch.kitsapgov.com/webappa/index.html?parcelID=2593754&amp;Theme=Imagery","2593754")</f>
        <v>2593754</v>
      </c>
      <c r="G639" s="16" t="s">
        <v>3177</v>
      </c>
      <c r="H639" s="17">
        <v>44970</v>
      </c>
      <c r="I639" s="18">
        <v>487500</v>
      </c>
      <c r="J639" s="19">
        <v>0</v>
      </c>
      <c r="L639" s="16" t="s">
        <v>20</v>
      </c>
      <c r="M639" s="16" t="s">
        <v>3178</v>
      </c>
      <c r="N639" s="16" t="s">
        <v>3179</v>
      </c>
    </row>
    <row r="640" spans="1:14" ht="20.100000000000001" customHeight="1" x14ac:dyDescent="0.25">
      <c r="A640" s="15" t="s">
        <v>3180</v>
      </c>
      <c r="B640" s="16" t="s">
        <v>317</v>
      </c>
      <c r="C640" s="15">
        <v>9100541</v>
      </c>
      <c r="D640" s="16" t="s">
        <v>186</v>
      </c>
      <c r="E640" s="15" t="s">
        <v>3181</v>
      </c>
      <c r="F640" s="21" t="str">
        <f>HYPERLINK("https://psearch.kitsapgov.com/webappa/index.html?parcelID=1461177&amp;Theme=Imagery","1461177")</f>
        <v>1461177</v>
      </c>
      <c r="G640" s="16" t="s">
        <v>3182</v>
      </c>
      <c r="H640" s="17">
        <v>44980</v>
      </c>
      <c r="I640" s="18">
        <v>430000</v>
      </c>
      <c r="J640" s="19">
        <v>0.09</v>
      </c>
      <c r="K640" s="16" t="s">
        <v>377</v>
      </c>
      <c r="L640" s="16" t="s">
        <v>213</v>
      </c>
      <c r="M640" s="16" t="s">
        <v>3183</v>
      </c>
      <c r="N640" s="16" t="s">
        <v>3184</v>
      </c>
    </row>
    <row r="641" spans="1:14" ht="20.100000000000001" customHeight="1" x14ac:dyDescent="0.25">
      <c r="A641" s="15" t="s">
        <v>3185</v>
      </c>
      <c r="B641" s="16" t="s">
        <v>1664</v>
      </c>
      <c r="C641" s="15">
        <v>8100502</v>
      </c>
      <c r="D641" s="16" t="s">
        <v>142</v>
      </c>
      <c r="E641" s="15" t="s">
        <v>3186</v>
      </c>
      <c r="F641" s="21" t="str">
        <f>HYPERLINK("https://psearch.kitsapgov.com/webappa/index.html?parcelID=2114577&amp;Theme=Imagery","2114577")</f>
        <v>2114577</v>
      </c>
      <c r="G641" s="16" t="s">
        <v>3187</v>
      </c>
      <c r="H641" s="17">
        <v>44985</v>
      </c>
      <c r="I641" s="18">
        <v>350000</v>
      </c>
      <c r="J641" s="19">
        <v>0.33</v>
      </c>
      <c r="K641" s="16" t="s">
        <v>145</v>
      </c>
      <c r="L641" s="16" t="s">
        <v>38</v>
      </c>
      <c r="M641" s="16" t="s">
        <v>3188</v>
      </c>
      <c r="N641" s="16" t="s">
        <v>3189</v>
      </c>
    </row>
    <row r="642" spans="1:14" ht="20.100000000000001" customHeight="1" x14ac:dyDescent="0.25">
      <c r="A642" s="15" t="s">
        <v>3190</v>
      </c>
      <c r="B642" s="16" t="s">
        <v>222</v>
      </c>
      <c r="C642" s="15">
        <v>8401508</v>
      </c>
      <c r="D642" s="16" t="s">
        <v>1341</v>
      </c>
      <c r="E642" s="15" t="s">
        <v>3191</v>
      </c>
      <c r="F642" s="21" t="str">
        <f>HYPERLINK("https://psearch.kitsapgov.com/webappa/index.html?parcelID=1263367&amp;Theme=Imagery","1263367")</f>
        <v>1263367</v>
      </c>
      <c r="G642" s="16" t="s">
        <v>3192</v>
      </c>
      <c r="H642" s="17">
        <v>44985</v>
      </c>
      <c r="I642" s="18">
        <v>13390000</v>
      </c>
      <c r="J642" s="19">
        <v>9.5299999999999994</v>
      </c>
      <c r="K642" s="16" t="s">
        <v>37</v>
      </c>
      <c r="L642" s="16" t="s">
        <v>38</v>
      </c>
      <c r="M642" s="16" t="s">
        <v>3193</v>
      </c>
      <c r="N642" s="16" t="s">
        <v>3194</v>
      </c>
    </row>
    <row r="643" spans="1:14" ht="20.100000000000001" customHeight="1" x14ac:dyDescent="0.25">
      <c r="A643" s="15" t="s">
        <v>3195</v>
      </c>
      <c r="B643" s="16" t="s">
        <v>159</v>
      </c>
      <c r="C643" s="15">
        <v>8100502</v>
      </c>
      <c r="D643" s="16" t="s">
        <v>142</v>
      </c>
      <c r="E643" s="15" t="s">
        <v>3196</v>
      </c>
      <c r="F643" s="21" t="str">
        <f>HYPERLINK("https://psearch.kitsapgov.com/webappa/index.html?parcelID=1444587&amp;Theme=Imagery","1444587")</f>
        <v>1444587</v>
      </c>
      <c r="G643" s="16" t="s">
        <v>3197</v>
      </c>
      <c r="H643" s="17">
        <v>44993</v>
      </c>
      <c r="I643" s="18">
        <v>250000</v>
      </c>
      <c r="J643" s="19">
        <v>0.31</v>
      </c>
      <c r="K643" s="16" t="s">
        <v>168</v>
      </c>
      <c r="L643" s="16" t="s">
        <v>20</v>
      </c>
      <c r="M643" s="16" t="s">
        <v>3198</v>
      </c>
      <c r="N643" s="16" t="s">
        <v>3199</v>
      </c>
    </row>
    <row r="644" spans="1:14" ht="20.100000000000001" customHeight="1" x14ac:dyDescent="0.25">
      <c r="A644" s="15" t="s">
        <v>3200</v>
      </c>
      <c r="B644" s="16" t="s">
        <v>3201</v>
      </c>
      <c r="C644" s="15">
        <v>8100501</v>
      </c>
      <c r="D644" s="16" t="s">
        <v>63</v>
      </c>
      <c r="E644" s="15" t="s">
        <v>3202</v>
      </c>
      <c r="F644" s="21" t="str">
        <f>HYPERLINK("https://psearch.kitsapgov.com/webappa/index.html?parcelID=1453059&amp;Theme=Imagery","1453059")</f>
        <v>1453059</v>
      </c>
      <c r="G644" s="16" t="s">
        <v>3203</v>
      </c>
      <c r="H644" s="17">
        <v>44994</v>
      </c>
      <c r="I644" s="18">
        <v>425000</v>
      </c>
      <c r="J644" s="19">
        <v>0.24</v>
      </c>
      <c r="K644" s="16" t="s">
        <v>773</v>
      </c>
      <c r="L644" s="16" t="s">
        <v>38</v>
      </c>
      <c r="M644" s="16" t="s">
        <v>3204</v>
      </c>
      <c r="N644" s="16" t="s">
        <v>3205</v>
      </c>
    </row>
    <row r="645" spans="1:14" ht="20.100000000000001" customHeight="1" x14ac:dyDescent="0.25">
      <c r="A645" s="15" t="s">
        <v>3206</v>
      </c>
      <c r="B645" s="16" t="s">
        <v>105</v>
      </c>
      <c r="C645" s="15">
        <v>9401190</v>
      </c>
      <c r="D645" s="16" t="s">
        <v>330</v>
      </c>
      <c r="E645" s="15" t="s">
        <v>3207</v>
      </c>
      <c r="F645" s="21" t="str">
        <f>HYPERLINK("https://psearch.kitsapgov.com/webappa/index.html?parcelID=1236280&amp;Theme=Imagery","1236280")</f>
        <v>1236280</v>
      </c>
      <c r="G645" s="16" t="s">
        <v>3208</v>
      </c>
      <c r="H645" s="17">
        <v>45001</v>
      </c>
      <c r="I645" s="18">
        <v>345000</v>
      </c>
      <c r="J645" s="19">
        <v>1.17</v>
      </c>
      <c r="K645" s="16" t="s">
        <v>699</v>
      </c>
      <c r="L645" s="16" t="s">
        <v>20</v>
      </c>
      <c r="M645" s="16" t="s">
        <v>3209</v>
      </c>
      <c r="N645" s="16" t="s">
        <v>3210</v>
      </c>
    </row>
    <row r="646" spans="1:14" ht="20.100000000000001" customHeight="1" x14ac:dyDescent="0.25">
      <c r="A646" s="15" t="s">
        <v>3211</v>
      </c>
      <c r="B646" s="16" t="s">
        <v>98</v>
      </c>
      <c r="C646" s="15">
        <v>8400206</v>
      </c>
      <c r="D646" s="16" t="s">
        <v>99</v>
      </c>
      <c r="E646" s="15" t="s">
        <v>665</v>
      </c>
      <c r="F646" s="21" t="str">
        <f>HYPERLINK("https://psearch.kitsapgov.com/webappa/index.html?parcelID=2071421&amp;Theme=Imagery","2071421")</f>
        <v>2071421</v>
      </c>
      <c r="G646" s="16" t="s">
        <v>666</v>
      </c>
      <c r="H646" s="17">
        <v>45005</v>
      </c>
      <c r="I646" s="18">
        <v>50000</v>
      </c>
      <c r="J646" s="19">
        <v>0</v>
      </c>
      <c r="L646" s="16" t="s">
        <v>20</v>
      </c>
      <c r="M646" s="16" t="s">
        <v>3212</v>
      </c>
      <c r="N646" s="16" t="s">
        <v>3213</v>
      </c>
    </row>
    <row r="647" spans="1:14" ht="20.100000000000001" customHeight="1" x14ac:dyDescent="0.25">
      <c r="A647" s="15" t="s">
        <v>3214</v>
      </c>
      <c r="B647" s="16" t="s">
        <v>98</v>
      </c>
      <c r="C647" s="15">
        <v>8400206</v>
      </c>
      <c r="D647" s="16" t="s">
        <v>99</v>
      </c>
      <c r="E647" s="15" t="s">
        <v>3215</v>
      </c>
      <c r="F647" s="21" t="str">
        <f>HYPERLINK("https://psearch.kitsapgov.com/webappa/index.html?parcelID=2071587&amp;Theme=Imagery","2071587")</f>
        <v>2071587</v>
      </c>
      <c r="G647" s="16" t="s">
        <v>486</v>
      </c>
      <c r="H647" s="17">
        <v>45002</v>
      </c>
      <c r="I647" s="18">
        <v>65000</v>
      </c>
      <c r="J647" s="19">
        <v>0</v>
      </c>
      <c r="L647" s="16" t="s">
        <v>20</v>
      </c>
      <c r="M647" s="16" t="s">
        <v>3216</v>
      </c>
      <c r="N647" s="16" t="s">
        <v>3217</v>
      </c>
    </row>
    <row r="648" spans="1:14" ht="20.100000000000001" customHeight="1" x14ac:dyDescent="0.25">
      <c r="A648" s="15" t="s">
        <v>3218</v>
      </c>
      <c r="B648" s="16" t="s">
        <v>70</v>
      </c>
      <c r="C648" s="15">
        <v>8402307</v>
      </c>
      <c r="D648" s="16" t="s">
        <v>131</v>
      </c>
      <c r="E648" s="15" t="s">
        <v>3219</v>
      </c>
      <c r="F648" s="21" t="str">
        <f>HYPERLINK("https://psearch.kitsapgov.com/webappa/index.html?parcelID=1682590&amp;Theme=Imagery","1682590")</f>
        <v>1682590</v>
      </c>
      <c r="G648" s="16" t="s">
        <v>3220</v>
      </c>
      <c r="H648" s="17">
        <v>45010</v>
      </c>
      <c r="I648" s="18">
        <v>1850000</v>
      </c>
      <c r="J648" s="19">
        <v>1.3</v>
      </c>
      <c r="K648" s="16" t="s">
        <v>630</v>
      </c>
      <c r="L648" s="16" t="s">
        <v>20</v>
      </c>
      <c r="M648" s="16" t="s">
        <v>3221</v>
      </c>
      <c r="N648" s="16" t="s">
        <v>3222</v>
      </c>
    </row>
    <row r="649" spans="1:14" ht="20.100000000000001" customHeight="1" x14ac:dyDescent="0.25">
      <c r="A649" s="15" t="s">
        <v>3223</v>
      </c>
      <c r="B649" s="16" t="s">
        <v>3224</v>
      </c>
      <c r="C649" s="15">
        <v>8303601</v>
      </c>
      <c r="D649" s="16" t="s">
        <v>25</v>
      </c>
      <c r="E649" s="15" t="s">
        <v>3225</v>
      </c>
      <c r="F649" s="21" t="str">
        <f>HYPERLINK("https://psearch.kitsapgov.com/webappa/index.html?parcelID=2459113&amp;Theme=Imagery","2459113")</f>
        <v>2459113</v>
      </c>
      <c r="G649" s="16" t="s">
        <v>3226</v>
      </c>
      <c r="H649" s="17">
        <v>45010</v>
      </c>
      <c r="I649" s="18">
        <v>8000000</v>
      </c>
      <c r="J649" s="19">
        <v>0</v>
      </c>
      <c r="L649" s="16" t="s">
        <v>38</v>
      </c>
      <c r="M649" s="16" t="s">
        <v>3227</v>
      </c>
      <c r="N649" s="16" t="s">
        <v>3228</v>
      </c>
    </row>
    <row r="650" spans="1:14" ht="20.100000000000001" customHeight="1" x14ac:dyDescent="0.25">
      <c r="A650" s="15" t="s">
        <v>3229</v>
      </c>
      <c r="B650" s="16" t="s">
        <v>834</v>
      </c>
      <c r="C650" s="15">
        <v>8100502</v>
      </c>
      <c r="D650" s="16" t="s">
        <v>142</v>
      </c>
      <c r="E650" s="15" t="s">
        <v>1564</v>
      </c>
      <c r="F650" s="21" t="str">
        <f>HYPERLINK("https://psearch.kitsapgov.com/webappa/index.html?parcelID=2524114&amp;Theme=Imagery","2524114")</f>
        <v>2524114</v>
      </c>
      <c r="G650" s="16" t="s">
        <v>1565</v>
      </c>
      <c r="H650" s="17">
        <v>45001</v>
      </c>
      <c r="I650" s="18">
        <v>205000</v>
      </c>
      <c r="J650" s="19">
        <v>0.24</v>
      </c>
      <c r="K650" s="16" t="s">
        <v>168</v>
      </c>
      <c r="L650" s="16" t="s">
        <v>20</v>
      </c>
      <c r="M650" s="16" t="s">
        <v>192</v>
      </c>
      <c r="N650" s="16" t="s">
        <v>3230</v>
      </c>
    </row>
    <row r="651" spans="1:14" ht="20.100000000000001" customHeight="1" x14ac:dyDescent="0.25">
      <c r="A651" s="15" t="s">
        <v>3231</v>
      </c>
      <c r="B651" s="16" t="s">
        <v>159</v>
      </c>
      <c r="C651" s="15">
        <v>8401101</v>
      </c>
      <c r="D651" s="16" t="s">
        <v>305</v>
      </c>
      <c r="E651" s="15" t="s">
        <v>3232</v>
      </c>
      <c r="F651" s="21" t="str">
        <f>HYPERLINK("https://psearch.kitsapgov.com/webappa/index.html?parcelID=2351823&amp;Theme=Imagery","2351823")</f>
        <v>2351823</v>
      </c>
      <c r="G651" s="16" t="s">
        <v>3233</v>
      </c>
      <c r="H651" s="17">
        <v>45014</v>
      </c>
      <c r="I651" s="18">
        <v>10000000</v>
      </c>
      <c r="J651" s="19">
        <v>5.43</v>
      </c>
      <c r="K651" s="16" t="s">
        <v>308</v>
      </c>
      <c r="L651" s="16" t="s">
        <v>20</v>
      </c>
      <c r="M651" s="16" t="s">
        <v>3234</v>
      </c>
      <c r="N651" s="16" t="s">
        <v>3235</v>
      </c>
    </row>
    <row r="652" spans="1:14" ht="20.100000000000001" customHeight="1" x14ac:dyDescent="0.25">
      <c r="A652" s="15" t="s">
        <v>3236</v>
      </c>
      <c r="B652" s="16" t="s">
        <v>2100</v>
      </c>
      <c r="C652" s="15">
        <v>8402405</v>
      </c>
      <c r="D652" s="16" t="s">
        <v>71</v>
      </c>
      <c r="E652" s="15" t="s">
        <v>3237</v>
      </c>
      <c r="F652" s="21" t="str">
        <f>HYPERLINK("https://psearch.kitsapgov.com/webappa/index.html?parcelID=1036342&amp;Theme=Imagery","1036342")</f>
        <v>1036342</v>
      </c>
      <c r="G652" s="16" t="s">
        <v>3238</v>
      </c>
      <c r="H652" s="17">
        <v>45014</v>
      </c>
      <c r="I652" s="18">
        <v>1000000</v>
      </c>
      <c r="J652" s="19">
        <v>4.43</v>
      </c>
      <c r="K652" s="16" t="s">
        <v>492</v>
      </c>
      <c r="L652" s="16" t="s">
        <v>20</v>
      </c>
      <c r="M652" s="16" t="s">
        <v>3239</v>
      </c>
      <c r="N652" s="16" t="s">
        <v>3240</v>
      </c>
    </row>
    <row r="653" spans="1:14" ht="20.100000000000001" customHeight="1" x14ac:dyDescent="0.25">
      <c r="A653" s="15" t="s">
        <v>3241</v>
      </c>
      <c r="B653" s="16" t="s">
        <v>222</v>
      </c>
      <c r="C653" s="15">
        <v>8303601</v>
      </c>
      <c r="D653" s="16" t="s">
        <v>25</v>
      </c>
      <c r="E653" s="15" t="s">
        <v>3242</v>
      </c>
      <c r="F653" s="21" t="str">
        <f>HYPERLINK("https://psearch.kitsapgov.com/webappa/index.html?parcelID=1300128&amp;Theme=Imagery","1300128")</f>
        <v>1300128</v>
      </c>
      <c r="G653" s="16" t="s">
        <v>3243</v>
      </c>
      <c r="H653" s="17">
        <v>45014</v>
      </c>
      <c r="I653" s="18">
        <v>4460000</v>
      </c>
      <c r="J653" s="19">
        <v>1.1499999999999999</v>
      </c>
      <c r="K653" s="16" t="s">
        <v>2251</v>
      </c>
      <c r="L653" s="16" t="s">
        <v>20</v>
      </c>
      <c r="M653" s="16" t="s">
        <v>3244</v>
      </c>
      <c r="N653" s="16" t="s">
        <v>3245</v>
      </c>
    </row>
    <row r="654" spans="1:14" ht="20.100000000000001" customHeight="1" x14ac:dyDescent="0.25">
      <c r="A654" s="15" t="s">
        <v>3246</v>
      </c>
      <c r="B654" s="16" t="s">
        <v>850</v>
      </c>
      <c r="C654" s="15">
        <v>8402408</v>
      </c>
      <c r="D654" s="16" t="s">
        <v>160</v>
      </c>
      <c r="E654" s="15" t="s">
        <v>3247</v>
      </c>
      <c r="F654" s="21" t="str">
        <f>HYPERLINK("https://psearch.kitsapgov.com/webappa/index.html?parcelID=1169630&amp;Theme=Imagery","1169630")</f>
        <v>1169630</v>
      </c>
      <c r="G654" s="16" t="s">
        <v>3248</v>
      </c>
      <c r="H654" s="17">
        <v>45015</v>
      </c>
      <c r="I654" s="18">
        <v>390000</v>
      </c>
      <c r="J654" s="19">
        <v>0.84</v>
      </c>
      <c r="K654" s="16" t="s">
        <v>1163</v>
      </c>
      <c r="L654" s="16" t="s">
        <v>20</v>
      </c>
      <c r="M654" s="16" t="s">
        <v>3249</v>
      </c>
      <c r="N654" s="16" t="s">
        <v>3250</v>
      </c>
    </row>
    <row r="655" spans="1:14" ht="20.100000000000001" customHeight="1" x14ac:dyDescent="0.25">
      <c r="A655" s="15" t="s">
        <v>3251</v>
      </c>
      <c r="B655" s="16" t="s">
        <v>98</v>
      </c>
      <c r="C655" s="15">
        <v>8400206</v>
      </c>
      <c r="D655" s="16" t="s">
        <v>99</v>
      </c>
      <c r="E655" s="15" t="s">
        <v>3252</v>
      </c>
      <c r="F655" s="21" t="str">
        <f>HYPERLINK("https://psearch.kitsapgov.com/webappa/index.html?parcelID=2071900&amp;Theme=Imagery","2071900")</f>
        <v>2071900</v>
      </c>
      <c r="G655" s="16" t="s">
        <v>248</v>
      </c>
      <c r="H655" s="17">
        <v>45022</v>
      </c>
      <c r="I655" s="18">
        <v>45000</v>
      </c>
      <c r="J655" s="19">
        <v>0</v>
      </c>
      <c r="L655" s="16" t="s">
        <v>20</v>
      </c>
      <c r="M655" s="16" t="s">
        <v>3253</v>
      </c>
      <c r="N655" s="16" t="s">
        <v>3254</v>
      </c>
    </row>
    <row r="656" spans="1:14" ht="20.100000000000001" customHeight="1" x14ac:dyDescent="0.25">
      <c r="A656" s="15" t="s">
        <v>3255</v>
      </c>
      <c r="B656" s="16" t="s">
        <v>70</v>
      </c>
      <c r="C656" s="15">
        <v>8401104</v>
      </c>
      <c r="D656" s="16" t="s">
        <v>241</v>
      </c>
      <c r="E656" s="15" t="s">
        <v>3256</v>
      </c>
      <c r="F656" s="21" t="str">
        <f>HYPERLINK("https://psearch.kitsapgov.com/webappa/index.html?parcelID=1225077&amp;Theme=Imagery","1225077")</f>
        <v>1225077</v>
      </c>
      <c r="G656" s="16" t="s">
        <v>3257</v>
      </c>
      <c r="H656" s="17">
        <v>45021</v>
      </c>
      <c r="I656" s="18">
        <v>4400000</v>
      </c>
      <c r="J656" s="19">
        <v>3.23</v>
      </c>
      <c r="K656" s="16" t="s">
        <v>37</v>
      </c>
      <c r="L656" s="16" t="s">
        <v>20</v>
      </c>
      <c r="M656" s="16" t="s">
        <v>3258</v>
      </c>
      <c r="N656" s="16" t="s">
        <v>3259</v>
      </c>
    </row>
    <row r="657" spans="1:14" ht="20.100000000000001" customHeight="1" x14ac:dyDescent="0.25">
      <c r="A657" s="15" t="s">
        <v>3260</v>
      </c>
      <c r="B657" s="16" t="s">
        <v>159</v>
      </c>
      <c r="C657" s="15">
        <v>8100502</v>
      </c>
      <c r="D657" s="16" t="s">
        <v>142</v>
      </c>
      <c r="E657" s="15" t="s">
        <v>3261</v>
      </c>
      <c r="F657" s="21" t="str">
        <f>HYPERLINK("https://psearch.kitsapgov.com/webappa/index.html?parcelID=1469907&amp;Theme=Imagery","1469907")</f>
        <v>1469907</v>
      </c>
      <c r="G657" s="16" t="s">
        <v>3262</v>
      </c>
      <c r="H657" s="17">
        <v>45020</v>
      </c>
      <c r="I657" s="18">
        <v>310000</v>
      </c>
      <c r="J657" s="19">
        <v>0.11</v>
      </c>
      <c r="K657" s="16" t="s">
        <v>980</v>
      </c>
      <c r="L657" s="16" t="s">
        <v>20</v>
      </c>
      <c r="M657" s="16" t="s">
        <v>3263</v>
      </c>
      <c r="N657" s="16" t="s">
        <v>3264</v>
      </c>
    </row>
    <row r="658" spans="1:14" ht="20.100000000000001" customHeight="1" x14ac:dyDescent="0.25">
      <c r="A658" s="15" t="s">
        <v>3265</v>
      </c>
      <c r="B658" s="16" t="s">
        <v>1759</v>
      </c>
      <c r="C658" s="15">
        <v>8303601</v>
      </c>
      <c r="D658" s="16" t="s">
        <v>25</v>
      </c>
      <c r="E658" s="15" t="s">
        <v>3266</v>
      </c>
      <c r="F658" s="21" t="str">
        <f>HYPERLINK("https://psearch.kitsapgov.com/webappa/index.html?parcelID=2486678&amp;Theme=Imagery","2486678")</f>
        <v>2486678</v>
      </c>
      <c r="G658" s="16" t="s">
        <v>3267</v>
      </c>
      <c r="H658" s="17">
        <v>45023</v>
      </c>
      <c r="I658" s="18">
        <v>570000</v>
      </c>
      <c r="J658" s="19">
        <v>0</v>
      </c>
      <c r="L658" s="16" t="s">
        <v>20</v>
      </c>
      <c r="M658" s="16" t="s">
        <v>2725</v>
      </c>
      <c r="N658" s="16" t="s">
        <v>3268</v>
      </c>
    </row>
    <row r="659" spans="1:14" ht="20.100000000000001" customHeight="1" x14ac:dyDescent="0.25">
      <c r="A659" s="15" t="s">
        <v>3269</v>
      </c>
      <c r="B659" s="16" t="s">
        <v>105</v>
      </c>
      <c r="C659" s="15">
        <v>8402408</v>
      </c>
      <c r="D659" s="16" t="s">
        <v>160</v>
      </c>
      <c r="E659" s="15" t="s">
        <v>3270</v>
      </c>
      <c r="F659" s="21" t="str">
        <f>HYPERLINK("https://psearch.kitsapgov.com/webappa/index.html?parcelID=1167774&amp;Theme=Imagery","1167774")</f>
        <v>1167774</v>
      </c>
      <c r="G659" s="16" t="s">
        <v>3271</v>
      </c>
      <c r="H659" s="17">
        <v>45027</v>
      </c>
      <c r="I659" s="18">
        <v>10000</v>
      </c>
      <c r="J659" s="19">
        <v>0.14000000000000001</v>
      </c>
      <c r="K659" s="16" t="s">
        <v>1163</v>
      </c>
      <c r="L659" s="16" t="s">
        <v>213</v>
      </c>
      <c r="M659" s="16" t="s">
        <v>3272</v>
      </c>
      <c r="N659" s="16" t="s">
        <v>3273</v>
      </c>
    </row>
    <row r="660" spans="1:14" ht="20.100000000000001" customHeight="1" x14ac:dyDescent="0.25">
      <c r="A660" s="15" t="s">
        <v>3274</v>
      </c>
      <c r="B660" s="16" t="s">
        <v>70</v>
      </c>
      <c r="C660" s="15">
        <v>8401508</v>
      </c>
      <c r="D660" s="16" t="s">
        <v>1341</v>
      </c>
      <c r="E660" s="15" t="s">
        <v>3275</v>
      </c>
      <c r="F660" s="21" t="str">
        <f>HYPERLINK("https://psearch.kitsapgov.com/webappa/index.html?parcelID=1279470&amp;Theme=Imagery","1279470")</f>
        <v>1279470</v>
      </c>
      <c r="G660" s="16" t="s">
        <v>3276</v>
      </c>
      <c r="H660" s="17">
        <v>45027</v>
      </c>
      <c r="I660" s="18">
        <v>500000</v>
      </c>
      <c r="J660" s="19">
        <v>6.51</v>
      </c>
      <c r="K660" s="16" t="s">
        <v>37</v>
      </c>
      <c r="L660" s="16" t="s">
        <v>213</v>
      </c>
      <c r="M660" s="16" t="s">
        <v>3277</v>
      </c>
      <c r="N660" s="16" t="s">
        <v>3278</v>
      </c>
    </row>
    <row r="661" spans="1:14" ht="20.100000000000001" customHeight="1" x14ac:dyDescent="0.25">
      <c r="A661" s="15" t="s">
        <v>3279</v>
      </c>
      <c r="B661" s="16" t="s">
        <v>209</v>
      </c>
      <c r="C661" s="15">
        <v>9400306</v>
      </c>
      <c r="D661" s="16" t="s">
        <v>1829</v>
      </c>
      <c r="E661" s="15" t="s">
        <v>3280</v>
      </c>
      <c r="F661" s="21" t="str">
        <f>HYPERLINK("https://psearch.kitsapgov.com/webappa/index.html?parcelID=1564962&amp;Theme=Imagery","1564962")</f>
        <v>1564962</v>
      </c>
      <c r="G661" s="16" t="s">
        <v>3281</v>
      </c>
      <c r="H661" s="17">
        <v>45033</v>
      </c>
      <c r="I661" s="18">
        <v>1000000</v>
      </c>
      <c r="J661" s="19">
        <v>0.46</v>
      </c>
      <c r="K661" s="16" t="s">
        <v>82</v>
      </c>
      <c r="L661" s="16" t="s">
        <v>38</v>
      </c>
      <c r="M661" s="16" t="s">
        <v>3282</v>
      </c>
      <c r="N661" s="16" t="s">
        <v>3283</v>
      </c>
    </row>
    <row r="662" spans="1:14" ht="20.100000000000001" customHeight="1" x14ac:dyDescent="0.25">
      <c r="A662" s="15" t="s">
        <v>3284</v>
      </c>
      <c r="B662" s="16" t="s">
        <v>98</v>
      </c>
      <c r="C662" s="15">
        <v>8400206</v>
      </c>
      <c r="D662" s="16" t="s">
        <v>99</v>
      </c>
      <c r="E662" s="15" t="s">
        <v>3285</v>
      </c>
      <c r="F662" s="21" t="str">
        <f>HYPERLINK("https://psearch.kitsapgov.com/webappa/index.html?parcelID=2071298&amp;Theme=Imagery","2071298")</f>
        <v>2071298</v>
      </c>
      <c r="G662" s="16" t="s">
        <v>3286</v>
      </c>
      <c r="H662" s="17">
        <v>45030</v>
      </c>
      <c r="I662" s="18">
        <v>50000</v>
      </c>
      <c r="J662" s="19">
        <v>0</v>
      </c>
      <c r="L662" s="16" t="s">
        <v>20</v>
      </c>
      <c r="M662" s="16" t="s">
        <v>3287</v>
      </c>
      <c r="N662" s="16" t="s">
        <v>3288</v>
      </c>
    </row>
    <row r="663" spans="1:14" ht="20.100000000000001" customHeight="1" x14ac:dyDescent="0.25">
      <c r="A663" s="15" t="s">
        <v>3289</v>
      </c>
      <c r="B663" s="16" t="s">
        <v>78</v>
      </c>
      <c r="C663" s="15">
        <v>9100541</v>
      </c>
      <c r="D663" s="16" t="s">
        <v>186</v>
      </c>
      <c r="E663" s="15" t="s">
        <v>3290</v>
      </c>
      <c r="F663" s="21" t="str">
        <f>HYPERLINK("https://psearch.kitsapgov.com/webappa/index.html?parcelID=1467125&amp;Theme=Imagery","1467125")</f>
        <v>1467125</v>
      </c>
      <c r="G663" s="16" t="s">
        <v>3291</v>
      </c>
      <c r="H663" s="17">
        <v>45026</v>
      </c>
      <c r="I663" s="18">
        <v>327000</v>
      </c>
      <c r="J663" s="19">
        <v>0.09</v>
      </c>
      <c r="K663" s="16" t="s">
        <v>109</v>
      </c>
      <c r="L663" s="16" t="s">
        <v>20</v>
      </c>
      <c r="M663" s="16" t="s">
        <v>3292</v>
      </c>
      <c r="N663" s="16" t="s">
        <v>3293</v>
      </c>
    </row>
    <row r="664" spans="1:14" ht="20.100000000000001" customHeight="1" x14ac:dyDescent="0.25">
      <c r="A664" s="15" t="s">
        <v>3294</v>
      </c>
      <c r="B664" s="16" t="s">
        <v>105</v>
      </c>
      <c r="C664" s="15">
        <v>8400301</v>
      </c>
      <c r="D664" s="16" t="s">
        <v>1850</v>
      </c>
      <c r="E664" s="15" t="s">
        <v>3295</v>
      </c>
      <c r="F664" s="21" t="str">
        <f>HYPERLINK("https://psearch.kitsapgov.com/webappa/index.html?parcelID=1582725&amp;Theme=Imagery","1582725")</f>
        <v>1582725</v>
      </c>
      <c r="G664" s="16" t="s">
        <v>3296</v>
      </c>
      <c r="H664" s="17">
        <v>45041</v>
      </c>
      <c r="I664" s="18">
        <v>216000</v>
      </c>
      <c r="J664" s="19">
        <v>0.15</v>
      </c>
      <c r="K664" s="16" t="s">
        <v>1853</v>
      </c>
      <c r="L664" s="16" t="s">
        <v>20</v>
      </c>
      <c r="M664" s="16" t="s">
        <v>3297</v>
      </c>
      <c r="N664" s="16" t="s">
        <v>3298</v>
      </c>
    </row>
    <row r="665" spans="1:14" ht="20.100000000000001" customHeight="1" x14ac:dyDescent="0.25">
      <c r="A665" s="15" t="s">
        <v>3299</v>
      </c>
      <c r="B665" s="16" t="s">
        <v>16</v>
      </c>
      <c r="C665" s="15">
        <v>8303601</v>
      </c>
      <c r="D665" s="16" t="s">
        <v>25</v>
      </c>
      <c r="E665" s="15" t="s">
        <v>3300</v>
      </c>
      <c r="F665" s="21" t="str">
        <f>HYPERLINK("https://psearch.kitsapgov.com/webappa/index.html?parcelID=2506988&amp;Theme=Imagery","2506988")</f>
        <v>2506988</v>
      </c>
      <c r="G665" s="16" t="s">
        <v>3301</v>
      </c>
      <c r="H665" s="17">
        <v>45041</v>
      </c>
      <c r="I665" s="18">
        <v>300000</v>
      </c>
      <c r="J665" s="19">
        <v>0</v>
      </c>
      <c r="L665" s="16" t="s">
        <v>20</v>
      </c>
      <c r="M665" s="16" t="s">
        <v>3302</v>
      </c>
      <c r="N665" s="16" t="s">
        <v>3303</v>
      </c>
    </row>
    <row r="666" spans="1:14" ht="20.100000000000001" customHeight="1" x14ac:dyDescent="0.25">
      <c r="A666" s="15" t="s">
        <v>3304</v>
      </c>
      <c r="B666" s="16" t="s">
        <v>70</v>
      </c>
      <c r="C666" s="15">
        <v>8303601</v>
      </c>
      <c r="D666" s="16" t="s">
        <v>25</v>
      </c>
      <c r="E666" s="15" t="s">
        <v>3305</v>
      </c>
      <c r="F666" s="21" t="str">
        <f>HYPERLINK("https://psearch.kitsapgov.com/webappa/index.html?parcelID=2689495&amp;Theme=Imagery","2689495")</f>
        <v>2689495</v>
      </c>
      <c r="G666" s="16" t="s">
        <v>3306</v>
      </c>
      <c r="H666" s="17">
        <v>45041</v>
      </c>
      <c r="I666" s="18">
        <v>1500000</v>
      </c>
      <c r="J666" s="19">
        <v>1.17</v>
      </c>
      <c r="K666" s="16" t="s">
        <v>28</v>
      </c>
      <c r="L666" s="16" t="s">
        <v>3307</v>
      </c>
      <c r="M666" s="16" t="s">
        <v>3308</v>
      </c>
      <c r="N666" s="16" t="s">
        <v>3309</v>
      </c>
    </row>
    <row r="667" spans="1:14" ht="20.100000000000001" customHeight="1" x14ac:dyDescent="0.25">
      <c r="A667" s="15" t="s">
        <v>3310</v>
      </c>
      <c r="B667" s="16" t="s">
        <v>42</v>
      </c>
      <c r="C667" s="15">
        <v>9402390</v>
      </c>
      <c r="D667" s="16" t="s">
        <v>173</v>
      </c>
      <c r="E667" s="15" t="s">
        <v>3311</v>
      </c>
      <c r="F667" s="21" t="str">
        <f>HYPERLINK("https://psearch.kitsapgov.com/webappa/index.html?parcelID=1174861&amp;Theme=Imagery","1174861")</f>
        <v>1174861</v>
      </c>
      <c r="G667" s="16" t="s">
        <v>3312</v>
      </c>
      <c r="H667" s="17">
        <v>45043</v>
      </c>
      <c r="I667" s="18">
        <v>350000</v>
      </c>
      <c r="J667" s="19">
        <v>0.8</v>
      </c>
      <c r="K667" s="16" t="s">
        <v>912</v>
      </c>
      <c r="L667" s="16" t="s">
        <v>38</v>
      </c>
      <c r="M667" s="16" t="s">
        <v>3313</v>
      </c>
      <c r="N667" s="16" t="s">
        <v>3314</v>
      </c>
    </row>
    <row r="668" spans="1:14" ht="20.100000000000001" customHeight="1" x14ac:dyDescent="0.25">
      <c r="A668" s="15" t="s">
        <v>3315</v>
      </c>
      <c r="B668" s="16" t="s">
        <v>78</v>
      </c>
      <c r="C668" s="15">
        <v>9402390</v>
      </c>
      <c r="D668" s="16" t="s">
        <v>173</v>
      </c>
      <c r="E668" s="15" t="s">
        <v>3316</v>
      </c>
      <c r="F668" s="21" t="str">
        <f>HYPERLINK("https://psearch.kitsapgov.com/webappa/index.html?parcelID=1040229&amp;Theme=Imagery","1040229")</f>
        <v>1040229</v>
      </c>
      <c r="G668" s="16" t="s">
        <v>3317</v>
      </c>
      <c r="H668" s="17">
        <v>45044</v>
      </c>
      <c r="I668" s="18">
        <v>610000</v>
      </c>
      <c r="J668" s="19">
        <v>0.5</v>
      </c>
      <c r="K668" s="16" t="s">
        <v>515</v>
      </c>
      <c r="L668" s="16" t="s">
        <v>20</v>
      </c>
      <c r="M668" s="16" t="s">
        <v>3318</v>
      </c>
      <c r="N668" s="16" t="s">
        <v>3319</v>
      </c>
    </row>
    <row r="669" spans="1:14" ht="20.100000000000001" customHeight="1" x14ac:dyDescent="0.25">
      <c r="A669" s="15" t="s">
        <v>3320</v>
      </c>
      <c r="B669" s="16" t="s">
        <v>324</v>
      </c>
      <c r="C669" s="15">
        <v>8100506</v>
      </c>
      <c r="D669" s="16" t="s">
        <v>286</v>
      </c>
      <c r="E669" s="15" t="s">
        <v>3321</v>
      </c>
      <c r="F669" s="21" t="str">
        <f>HYPERLINK("https://psearch.kitsapgov.com/webappa/index.html?parcelID=2559235&amp;Theme=Imagery","2559235")</f>
        <v>2559235</v>
      </c>
      <c r="G669" s="16" t="s">
        <v>3322</v>
      </c>
      <c r="H669" s="17">
        <v>45048</v>
      </c>
      <c r="I669" s="18">
        <v>1200000</v>
      </c>
      <c r="J669" s="19">
        <v>1.5</v>
      </c>
      <c r="K669" s="16" t="s">
        <v>168</v>
      </c>
      <c r="L669" s="16" t="s">
        <v>20</v>
      </c>
      <c r="M669" s="16" t="s">
        <v>3323</v>
      </c>
      <c r="N669" s="16" t="s">
        <v>3324</v>
      </c>
    </row>
    <row r="670" spans="1:14" ht="20.100000000000001" customHeight="1" x14ac:dyDescent="0.25">
      <c r="A670" s="15" t="s">
        <v>3325</v>
      </c>
      <c r="B670" s="16" t="s">
        <v>78</v>
      </c>
      <c r="C670" s="15">
        <v>9401120</v>
      </c>
      <c r="D670" s="16" t="s">
        <v>575</v>
      </c>
      <c r="E670" s="15" t="s">
        <v>576</v>
      </c>
      <c r="F670" s="21" t="str">
        <f>HYPERLINK("https://psearch.kitsapgov.com/webappa/index.html?parcelID=1240696&amp;Theme=Imagery","1240696")</f>
        <v>1240696</v>
      </c>
      <c r="G670" s="16" t="s">
        <v>577</v>
      </c>
      <c r="H670" s="17">
        <v>44999</v>
      </c>
      <c r="I670" s="18">
        <v>5000</v>
      </c>
      <c r="J670" s="19">
        <v>1.97</v>
      </c>
      <c r="K670" s="16" t="s">
        <v>37</v>
      </c>
      <c r="L670" s="16" t="s">
        <v>3307</v>
      </c>
      <c r="M670" s="16" t="s">
        <v>3326</v>
      </c>
      <c r="N670" s="16" t="s">
        <v>3327</v>
      </c>
    </row>
    <row r="671" spans="1:14" ht="20.100000000000001" customHeight="1" x14ac:dyDescent="0.25">
      <c r="A671" s="15" t="s">
        <v>3328</v>
      </c>
      <c r="B671" s="16" t="s">
        <v>105</v>
      </c>
      <c r="C671" s="15">
        <v>8401101</v>
      </c>
      <c r="D671" s="16" t="s">
        <v>305</v>
      </c>
      <c r="E671" s="15" t="s">
        <v>3329</v>
      </c>
      <c r="F671" s="21" t="str">
        <f>HYPERLINK("https://psearch.kitsapgov.com/webappa/index.html?parcelID=2685915&amp;Theme=Imagery","2685915")</f>
        <v>2685915</v>
      </c>
      <c r="G671" s="16" t="s">
        <v>3019</v>
      </c>
      <c r="H671" s="17">
        <v>45051</v>
      </c>
      <c r="I671" s="18">
        <v>1500000</v>
      </c>
      <c r="J671" s="19">
        <v>2.93</v>
      </c>
      <c r="K671" s="16" t="s">
        <v>37</v>
      </c>
      <c r="L671" s="16" t="s">
        <v>38</v>
      </c>
      <c r="M671" s="16" t="s">
        <v>1521</v>
      </c>
      <c r="N671" s="16" t="s">
        <v>3330</v>
      </c>
    </row>
    <row r="672" spans="1:14" ht="20.100000000000001" customHeight="1" x14ac:dyDescent="0.25">
      <c r="A672" s="15" t="s">
        <v>3331</v>
      </c>
      <c r="B672" s="16" t="s">
        <v>185</v>
      </c>
      <c r="C672" s="15">
        <v>9100541</v>
      </c>
      <c r="D672" s="16" t="s">
        <v>186</v>
      </c>
      <c r="E672" s="15" t="s">
        <v>3332</v>
      </c>
      <c r="F672" s="21" t="str">
        <f>HYPERLINK("https://psearch.kitsapgov.com/webappa/index.html?parcelID=2666287&amp;Theme=Imagery","2666287")</f>
        <v>2666287</v>
      </c>
      <c r="G672" s="16" t="s">
        <v>3333</v>
      </c>
      <c r="H672" s="17">
        <v>45044</v>
      </c>
      <c r="I672" s="18">
        <v>600000</v>
      </c>
      <c r="J672" s="19">
        <v>0.14000000000000001</v>
      </c>
      <c r="K672" s="16" t="s">
        <v>377</v>
      </c>
      <c r="L672" s="16" t="s">
        <v>20</v>
      </c>
      <c r="M672" s="16" t="s">
        <v>1567</v>
      </c>
      <c r="N672" s="16" t="s">
        <v>3334</v>
      </c>
    </row>
    <row r="673" spans="1:14" ht="20.100000000000001" customHeight="1" x14ac:dyDescent="0.25">
      <c r="A673" s="15" t="s">
        <v>3335</v>
      </c>
      <c r="B673" s="16" t="s">
        <v>317</v>
      </c>
      <c r="C673" s="15">
        <v>9401592</v>
      </c>
      <c r="D673" s="16" t="s">
        <v>696</v>
      </c>
      <c r="E673" s="15" t="s">
        <v>1206</v>
      </c>
      <c r="F673" s="21" t="str">
        <f>HYPERLINK("https://psearch.kitsapgov.com/webappa/index.html?parcelID=2057933&amp;Theme=Imagery","2057933")</f>
        <v>2057933</v>
      </c>
      <c r="G673" s="16" t="s">
        <v>1207</v>
      </c>
      <c r="H673" s="17">
        <v>45057</v>
      </c>
      <c r="I673" s="18">
        <v>1800000</v>
      </c>
      <c r="J673" s="19">
        <v>1</v>
      </c>
      <c r="K673" s="16" t="s">
        <v>699</v>
      </c>
      <c r="L673" s="16" t="s">
        <v>3307</v>
      </c>
      <c r="M673" s="16" t="s">
        <v>1209</v>
      </c>
      <c r="N673" s="16" t="s">
        <v>296</v>
      </c>
    </row>
    <row r="674" spans="1:14" ht="20.100000000000001" customHeight="1" x14ac:dyDescent="0.25">
      <c r="A674" s="15" t="s">
        <v>3336</v>
      </c>
      <c r="B674" s="16" t="s">
        <v>3201</v>
      </c>
      <c r="C674" s="15">
        <v>8100504</v>
      </c>
      <c r="D674" s="16" t="s">
        <v>210</v>
      </c>
      <c r="E674" s="15" t="s">
        <v>3337</v>
      </c>
      <c r="F674" s="21" t="str">
        <f>HYPERLINK("https://psearch.kitsapgov.com/webappa/index.html?parcelID=1159599&amp;Theme=Imagery","1159599")</f>
        <v>1159599</v>
      </c>
      <c r="G674" s="16" t="s">
        <v>3338</v>
      </c>
      <c r="H674" s="17">
        <v>45057</v>
      </c>
      <c r="I674" s="18">
        <v>400000</v>
      </c>
      <c r="J674" s="19">
        <v>0.32</v>
      </c>
      <c r="K674" s="16" t="s">
        <v>37</v>
      </c>
      <c r="L674" s="16" t="s">
        <v>20</v>
      </c>
      <c r="M674" s="16" t="s">
        <v>3339</v>
      </c>
      <c r="N674" s="16" t="s">
        <v>3340</v>
      </c>
    </row>
    <row r="675" spans="1:14" ht="20.100000000000001" customHeight="1" x14ac:dyDescent="0.25">
      <c r="A675" s="15" t="s">
        <v>3341</v>
      </c>
      <c r="B675" s="16" t="s">
        <v>185</v>
      </c>
      <c r="C675" s="15">
        <v>8400204</v>
      </c>
      <c r="D675" s="16" t="s">
        <v>194</v>
      </c>
      <c r="E675" s="15" t="s">
        <v>3342</v>
      </c>
      <c r="F675" s="21" t="str">
        <f>HYPERLINK("https://psearch.kitsapgov.com/webappa/index.html?parcelID=1609072&amp;Theme=Imagery","1609072")</f>
        <v>1609072</v>
      </c>
      <c r="G675" s="16" t="s">
        <v>3343</v>
      </c>
      <c r="H675" s="17">
        <v>45062</v>
      </c>
      <c r="I675" s="18">
        <v>350000</v>
      </c>
      <c r="J675" s="19">
        <v>0.3</v>
      </c>
      <c r="K675" s="16" t="s">
        <v>2613</v>
      </c>
      <c r="L675" s="16" t="s">
        <v>38</v>
      </c>
      <c r="M675" s="16" t="s">
        <v>3344</v>
      </c>
      <c r="N675" s="16" t="s">
        <v>3345</v>
      </c>
    </row>
    <row r="676" spans="1:14" ht="20.100000000000001" customHeight="1" x14ac:dyDescent="0.25">
      <c r="A676" s="15" t="s">
        <v>3346</v>
      </c>
      <c r="B676" s="16" t="s">
        <v>834</v>
      </c>
      <c r="C676" s="15">
        <v>8400203</v>
      </c>
      <c r="D676" s="16" t="s">
        <v>353</v>
      </c>
      <c r="E676" s="15" t="s">
        <v>3347</v>
      </c>
      <c r="F676" s="21" t="str">
        <f>HYPERLINK("https://psearch.kitsapgov.com/webappa/index.html?parcelID=1336189&amp;Theme=Imagery","1336189")</f>
        <v>1336189</v>
      </c>
      <c r="G676" s="16" t="s">
        <v>3348</v>
      </c>
      <c r="H676" s="17">
        <v>45064</v>
      </c>
      <c r="I676" s="18">
        <v>600000</v>
      </c>
      <c r="J676" s="19">
        <v>0.41</v>
      </c>
      <c r="K676" s="16" t="s">
        <v>356</v>
      </c>
      <c r="L676" s="16" t="s">
        <v>38</v>
      </c>
      <c r="M676" s="16" t="s">
        <v>3349</v>
      </c>
      <c r="N676" s="16" t="s">
        <v>3350</v>
      </c>
    </row>
    <row r="677" spans="1:14" ht="20.100000000000001" customHeight="1" x14ac:dyDescent="0.25">
      <c r="A677" s="15" t="s">
        <v>3351</v>
      </c>
      <c r="B677" s="16" t="s">
        <v>159</v>
      </c>
      <c r="C677" s="15">
        <v>9402403</v>
      </c>
      <c r="D677" s="16" t="s">
        <v>3352</v>
      </c>
      <c r="E677" s="15" t="s">
        <v>3353</v>
      </c>
      <c r="F677" s="21" t="str">
        <f>HYPERLINK("https://psearch.kitsapgov.com/webappa/index.html?parcelID=1201052&amp;Theme=Imagery","1201052")</f>
        <v>1201052</v>
      </c>
      <c r="G677" s="16" t="s">
        <v>3354</v>
      </c>
      <c r="H677" s="17">
        <v>45064</v>
      </c>
      <c r="I677" s="18">
        <v>699000</v>
      </c>
      <c r="J677" s="19">
        <v>0.18</v>
      </c>
      <c r="K677" s="16" t="s">
        <v>3355</v>
      </c>
      <c r="L677" s="16" t="s">
        <v>38</v>
      </c>
      <c r="M677" s="16" t="s">
        <v>3356</v>
      </c>
      <c r="N677" s="16" t="s">
        <v>3357</v>
      </c>
    </row>
    <row r="678" spans="1:14" ht="20.100000000000001" customHeight="1" x14ac:dyDescent="0.25">
      <c r="A678" s="15" t="s">
        <v>3358</v>
      </c>
      <c r="B678" s="16" t="s">
        <v>98</v>
      </c>
      <c r="C678" s="15">
        <v>8400206</v>
      </c>
      <c r="D678" s="16" t="s">
        <v>99</v>
      </c>
      <c r="E678" s="15" t="s">
        <v>1781</v>
      </c>
      <c r="F678" s="21" t="str">
        <f>HYPERLINK("https://psearch.kitsapgov.com/webappa/index.html?parcelID=2071520&amp;Theme=Imagery","2071520")</f>
        <v>2071520</v>
      </c>
      <c r="G678" s="16" t="s">
        <v>486</v>
      </c>
      <c r="H678" s="17">
        <v>45062</v>
      </c>
      <c r="I678" s="18">
        <v>77500</v>
      </c>
      <c r="J678" s="19">
        <v>0</v>
      </c>
      <c r="L678" s="16" t="s">
        <v>20</v>
      </c>
      <c r="M678" s="16" t="s">
        <v>1783</v>
      </c>
      <c r="N678" s="16" t="s">
        <v>3359</v>
      </c>
    </row>
    <row r="679" spans="1:14" ht="20.100000000000001" customHeight="1" x14ac:dyDescent="0.25">
      <c r="A679" s="15" t="s">
        <v>3360</v>
      </c>
      <c r="B679" s="16" t="s">
        <v>24</v>
      </c>
      <c r="C679" s="15">
        <v>8401101</v>
      </c>
      <c r="D679" s="16" t="s">
        <v>305</v>
      </c>
      <c r="E679" s="15" t="s">
        <v>3361</v>
      </c>
      <c r="F679" s="21" t="str">
        <f>HYPERLINK("https://psearch.kitsapgov.com/webappa/index.html?parcelID=1242205&amp;Theme=Imagery","1242205")</f>
        <v>1242205</v>
      </c>
      <c r="G679" s="16" t="s">
        <v>3362</v>
      </c>
      <c r="H679" s="17">
        <v>45064</v>
      </c>
      <c r="I679" s="18">
        <v>725000</v>
      </c>
      <c r="J679" s="19">
        <v>0.64</v>
      </c>
      <c r="K679" s="16" t="s">
        <v>308</v>
      </c>
      <c r="L679" s="16" t="s">
        <v>20</v>
      </c>
      <c r="M679" s="16" t="s">
        <v>3363</v>
      </c>
      <c r="N679" s="16" t="s">
        <v>3364</v>
      </c>
    </row>
    <row r="680" spans="1:14" ht="20.100000000000001" customHeight="1" x14ac:dyDescent="0.25">
      <c r="A680" s="15" t="s">
        <v>3365</v>
      </c>
      <c r="B680" s="16" t="s">
        <v>185</v>
      </c>
      <c r="C680" s="15">
        <v>9402390</v>
      </c>
      <c r="D680" s="16" t="s">
        <v>173</v>
      </c>
      <c r="E680" s="15" t="s">
        <v>3366</v>
      </c>
      <c r="F680" s="21" t="str">
        <f>HYPERLINK("https://psearch.kitsapgov.com/webappa/index.html?parcelID=1038769&amp;Theme=Imagery","1038769")</f>
        <v>1038769</v>
      </c>
      <c r="G680" s="16" t="s">
        <v>3367</v>
      </c>
      <c r="H680" s="17">
        <v>45065</v>
      </c>
      <c r="I680" s="18">
        <v>920000</v>
      </c>
      <c r="J680" s="19">
        <v>0.28000000000000003</v>
      </c>
      <c r="K680" s="16" t="s">
        <v>647</v>
      </c>
      <c r="L680" s="16" t="s">
        <v>38</v>
      </c>
      <c r="M680" s="16" t="s">
        <v>3368</v>
      </c>
      <c r="N680" s="16" t="s">
        <v>3369</v>
      </c>
    </row>
    <row r="681" spans="1:14" ht="20.100000000000001" customHeight="1" x14ac:dyDescent="0.25">
      <c r="A681" s="15" t="s">
        <v>3370</v>
      </c>
      <c r="B681" s="16" t="s">
        <v>78</v>
      </c>
      <c r="C681" s="15">
        <v>8402305</v>
      </c>
      <c r="D681" s="16" t="s">
        <v>452</v>
      </c>
      <c r="E681" s="15" t="s">
        <v>3371</v>
      </c>
      <c r="F681" s="21" t="str">
        <f>HYPERLINK("https://psearch.kitsapgov.com/webappa/index.html?parcelID=1162346&amp;Theme=Imagery","1162346")</f>
        <v>1162346</v>
      </c>
      <c r="G681" s="16" t="s">
        <v>3372</v>
      </c>
      <c r="H681" s="17">
        <v>45064</v>
      </c>
      <c r="I681" s="18">
        <v>200000</v>
      </c>
      <c r="J681" s="19">
        <v>0.1</v>
      </c>
      <c r="K681" s="16" t="s">
        <v>455</v>
      </c>
      <c r="L681" s="16" t="s">
        <v>94</v>
      </c>
      <c r="M681" s="16" t="s">
        <v>3373</v>
      </c>
      <c r="N681" s="16" t="s">
        <v>3374</v>
      </c>
    </row>
    <row r="682" spans="1:14" ht="20.100000000000001" customHeight="1" x14ac:dyDescent="0.25">
      <c r="A682" s="15" t="s">
        <v>3375</v>
      </c>
      <c r="B682" s="16" t="s">
        <v>317</v>
      </c>
      <c r="C682" s="15">
        <v>9402390</v>
      </c>
      <c r="D682" s="16" t="s">
        <v>173</v>
      </c>
      <c r="E682" s="15" t="s">
        <v>3376</v>
      </c>
      <c r="F682" s="21" t="str">
        <f>HYPERLINK("https://psearch.kitsapgov.com/webappa/index.html?parcelID=1730159&amp;Theme=Imagery","1730159")</f>
        <v>1730159</v>
      </c>
      <c r="G682" s="16" t="s">
        <v>3377</v>
      </c>
      <c r="H682" s="17">
        <v>45069</v>
      </c>
      <c r="I682" s="18">
        <v>235000</v>
      </c>
      <c r="J682" s="19">
        <v>0.46</v>
      </c>
      <c r="K682" s="16" t="s">
        <v>874</v>
      </c>
      <c r="L682" s="16" t="s">
        <v>53</v>
      </c>
      <c r="M682" s="16" t="s">
        <v>3378</v>
      </c>
      <c r="N682" s="16" t="s">
        <v>1793</v>
      </c>
    </row>
    <row r="683" spans="1:14" ht="20.100000000000001" customHeight="1" x14ac:dyDescent="0.25">
      <c r="A683" s="15" t="s">
        <v>3379</v>
      </c>
      <c r="B683" s="16" t="s">
        <v>78</v>
      </c>
      <c r="C683" s="15">
        <v>8402306</v>
      </c>
      <c r="D683" s="16" t="s">
        <v>621</v>
      </c>
      <c r="E683" s="15" t="s">
        <v>3380</v>
      </c>
      <c r="F683" s="21" t="str">
        <f>HYPERLINK("https://psearch.kitsapgov.com/webappa/index.html?parcelID=1738335&amp;Theme=Imagery","1738335")</f>
        <v>1738335</v>
      </c>
      <c r="G683" s="16" t="s">
        <v>3381</v>
      </c>
      <c r="H683" s="17">
        <v>45070</v>
      </c>
      <c r="I683" s="18">
        <v>850000</v>
      </c>
      <c r="J683" s="19">
        <v>0.41</v>
      </c>
      <c r="K683" s="16" t="s">
        <v>276</v>
      </c>
      <c r="L683" s="16" t="s">
        <v>20</v>
      </c>
      <c r="M683" s="16" t="s">
        <v>3382</v>
      </c>
      <c r="N683" s="16" t="s">
        <v>3383</v>
      </c>
    </row>
    <row r="684" spans="1:14" ht="20.100000000000001" customHeight="1" x14ac:dyDescent="0.25">
      <c r="A684" s="15" t="s">
        <v>3384</v>
      </c>
      <c r="B684" s="16" t="s">
        <v>381</v>
      </c>
      <c r="C684" s="15">
        <v>8401103</v>
      </c>
      <c r="D684" s="16" t="s">
        <v>2420</v>
      </c>
      <c r="E684" s="15" t="s">
        <v>3385</v>
      </c>
      <c r="F684" s="21" t="str">
        <f>HYPERLINK("https://psearch.kitsapgov.com/webappa/index.html?parcelID=2381903&amp;Theme=Imagery","2381903")</f>
        <v>2381903</v>
      </c>
      <c r="G684" s="16" t="s">
        <v>3386</v>
      </c>
      <c r="H684" s="17">
        <v>45070</v>
      </c>
      <c r="I684" s="18">
        <v>1360000</v>
      </c>
      <c r="J684" s="19">
        <v>0.49</v>
      </c>
      <c r="K684" s="16" t="s">
        <v>679</v>
      </c>
      <c r="L684" s="16" t="s">
        <v>20</v>
      </c>
      <c r="M684" s="16" t="s">
        <v>3387</v>
      </c>
      <c r="N684" s="16" t="s">
        <v>3388</v>
      </c>
    </row>
    <row r="685" spans="1:14" ht="20.100000000000001" customHeight="1" x14ac:dyDescent="0.25">
      <c r="A685" s="15" t="s">
        <v>3389</v>
      </c>
      <c r="B685" s="16" t="s">
        <v>130</v>
      </c>
      <c r="C685" s="15">
        <v>8401508</v>
      </c>
      <c r="D685" s="16" t="s">
        <v>1341</v>
      </c>
      <c r="E685" s="15" t="s">
        <v>3390</v>
      </c>
      <c r="F685" s="21" t="str">
        <f>HYPERLINK("https://psearch.kitsapgov.com/webappa/index.html?parcelID=2020543&amp;Theme=Imagery","2020543")</f>
        <v>2020543</v>
      </c>
      <c r="G685" s="16" t="s">
        <v>3391</v>
      </c>
      <c r="H685" s="17">
        <v>45077</v>
      </c>
      <c r="I685" s="18">
        <v>2900000</v>
      </c>
      <c r="J685" s="19">
        <v>1.48</v>
      </c>
      <c r="K685" s="16" t="s">
        <v>37</v>
      </c>
      <c r="L685" s="16" t="s">
        <v>38</v>
      </c>
      <c r="M685" s="16" t="s">
        <v>3392</v>
      </c>
      <c r="N685" s="16" t="s">
        <v>3393</v>
      </c>
    </row>
    <row r="686" spans="1:14" ht="20.100000000000001" customHeight="1" x14ac:dyDescent="0.25">
      <c r="A686" s="15" t="s">
        <v>3394</v>
      </c>
      <c r="B686" s="16" t="s">
        <v>2506</v>
      </c>
      <c r="C686" s="15">
        <v>8402307</v>
      </c>
      <c r="D686" s="16" t="s">
        <v>131</v>
      </c>
      <c r="E686" s="15" t="s">
        <v>3395</v>
      </c>
      <c r="F686" s="21" t="str">
        <f>HYPERLINK("https://psearch.kitsapgov.com/webappa/index.html?parcelID=1175330&amp;Theme=Imagery","1175330")</f>
        <v>1175330</v>
      </c>
      <c r="G686" s="16" t="s">
        <v>3396</v>
      </c>
      <c r="H686" s="17">
        <v>45076</v>
      </c>
      <c r="I686" s="18">
        <v>1610000</v>
      </c>
      <c r="J686" s="19">
        <v>1.1100000000000001</v>
      </c>
      <c r="K686" s="16" t="s">
        <v>515</v>
      </c>
      <c r="L686" s="16" t="s">
        <v>38</v>
      </c>
      <c r="M686" s="16" t="s">
        <v>3397</v>
      </c>
      <c r="N686" s="16" t="s">
        <v>3398</v>
      </c>
    </row>
    <row r="687" spans="1:14" ht="20.100000000000001" customHeight="1" x14ac:dyDescent="0.25">
      <c r="A687" s="15" t="s">
        <v>3399</v>
      </c>
      <c r="B687" s="16" t="s">
        <v>24</v>
      </c>
      <c r="C687" s="15">
        <v>8400201</v>
      </c>
      <c r="D687" s="16" t="s">
        <v>496</v>
      </c>
      <c r="E687" s="15" t="s">
        <v>3400</v>
      </c>
      <c r="F687" s="21" t="str">
        <f>HYPERLINK("https://psearch.kitsapgov.com/webappa/index.html?parcelID=1550995&amp;Theme=Imagery","1550995")</f>
        <v>1550995</v>
      </c>
      <c r="G687" s="16" t="s">
        <v>3401</v>
      </c>
      <c r="H687" s="17">
        <v>45079</v>
      </c>
      <c r="I687" s="18">
        <v>1265000</v>
      </c>
      <c r="J687" s="19">
        <v>0.19</v>
      </c>
      <c r="K687" s="16" t="s">
        <v>499</v>
      </c>
      <c r="L687" s="16" t="s">
        <v>20</v>
      </c>
      <c r="M687" s="16" t="s">
        <v>3402</v>
      </c>
      <c r="N687" s="16" t="s">
        <v>2180</v>
      </c>
    </row>
    <row r="688" spans="1:14" ht="20.100000000000001" customHeight="1" x14ac:dyDescent="0.25">
      <c r="A688" s="15" t="s">
        <v>3403</v>
      </c>
      <c r="B688" s="16" t="s">
        <v>98</v>
      </c>
      <c r="C688" s="15">
        <v>8303660</v>
      </c>
      <c r="D688" s="16" t="s">
        <v>252</v>
      </c>
      <c r="E688" s="15" t="s">
        <v>3404</v>
      </c>
      <c r="F688" s="21" t="str">
        <f>HYPERLINK("https://psearch.kitsapgov.com/webappa/index.html?parcelID=1882935&amp;Theme=Imagery","1882935")</f>
        <v>1882935</v>
      </c>
      <c r="G688" s="16" t="s">
        <v>3405</v>
      </c>
      <c r="H688" s="17">
        <v>45078</v>
      </c>
      <c r="I688" s="18">
        <v>188000</v>
      </c>
      <c r="J688" s="19">
        <v>0</v>
      </c>
      <c r="L688" s="16" t="s">
        <v>944</v>
      </c>
      <c r="M688" s="16" t="s">
        <v>3406</v>
      </c>
      <c r="N688" s="16" t="s">
        <v>2683</v>
      </c>
    </row>
    <row r="689" spans="1:14" ht="20.100000000000001" customHeight="1" x14ac:dyDescent="0.25">
      <c r="A689" s="15" t="s">
        <v>3407</v>
      </c>
      <c r="B689" s="16" t="s">
        <v>105</v>
      </c>
      <c r="C689" s="15">
        <v>8303601</v>
      </c>
      <c r="D689" s="16" t="s">
        <v>25</v>
      </c>
      <c r="E689" s="15" t="s">
        <v>1618</v>
      </c>
      <c r="F689" s="21" t="str">
        <f>HYPERLINK("https://psearch.kitsapgov.com/webappa/index.html?parcelID=2625796&amp;Theme=Imagery","2625796")</f>
        <v>2625796</v>
      </c>
      <c r="G689" s="16" t="s">
        <v>1619</v>
      </c>
      <c r="H689" s="17">
        <v>45085</v>
      </c>
      <c r="I689" s="18">
        <v>3750000</v>
      </c>
      <c r="J689" s="19">
        <v>4.03</v>
      </c>
      <c r="K689" s="16" t="s">
        <v>28</v>
      </c>
      <c r="L689" s="16" t="s">
        <v>38</v>
      </c>
      <c r="M689" s="16" t="s">
        <v>3408</v>
      </c>
      <c r="N689" s="16" t="s">
        <v>2816</v>
      </c>
    </row>
    <row r="690" spans="1:14" ht="20.100000000000001" customHeight="1" x14ac:dyDescent="0.25">
      <c r="A690" s="15" t="s">
        <v>3409</v>
      </c>
      <c r="B690" s="16" t="s">
        <v>159</v>
      </c>
      <c r="C690" s="15">
        <v>8401102</v>
      </c>
      <c r="D690" s="16" t="s">
        <v>17</v>
      </c>
      <c r="E690" s="15" t="s">
        <v>3410</v>
      </c>
      <c r="F690" s="21" t="str">
        <f>HYPERLINK("https://psearch.kitsapgov.com/webappa/index.html?parcelID=1658897&amp;Theme=Imagery","1658897")</f>
        <v>1658897</v>
      </c>
      <c r="G690" s="16" t="s">
        <v>3411</v>
      </c>
      <c r="H690" s="17">
        <v>45078</v>
      </c>
      <c r="I690" s="18">
        <v>380000</v>
      </c>
      <c r="J690" s="19">
        <v>0.09</v>
      </c>
      <c r="K690" s="16" t="s">
        <v>308</v>
      </c>
      <c r="L690" s="16" t="s">
        <v>38</v>
      </c>
      <c r="M690" s="16" t="s">
        <v>2857</v>
      </c>
      <c r="N690" s="16" t="s">
        <v>2858</v>
      </c>
    </row>
    <row r="691" spans="1:14" ht="20.100000000000001" customHeight="1" x14ac:dyDescent="0.25">
      <c r="A691" s="15" t="s">
        <v>3412</v>
      </c>
      <c r="B691" s="16" t="s">
        <v>105</v>
      </c>
      <c r="C691" s="15">
        <v>8400302</v>
      </c>
      <c r="D691" s="16" t="s">
        <v>397</v>
      </c>
      <c r="E691" s="15" t="s">
        <v>3413</v>
      </c>
      <c r="F691" s="21" t="str">
        <f>HYPERLINK("https://psearch.kitsapgov.com/webappa/index.html?parcelID=2452886&amp;Theme=Imagery","2452886")</f>
        <v>2452886</v>
      </c>
      <c r="G691" s="16" t="s">
        <v>3414</v>
      </c>
      <c r="H691" s="17">
        <v>45058</v>
      </c>
      <c r="I691" s="18">
        <v>558000</v>
      </c>
      <c r="J691" s="19">
        <v>1.89</v>
      </c>
      <c r="K691" s="16" t="s">
        <v>679</v>
      </c>
      <c r="L691" s="16" t="s">
        <v>20</v>
      </c>
      <c r="M691" s="16" t="s">
        <v>3415</v>
      </c>
      <c r="N691" s="16" t="s">
        <v>3416</v>
      </c>
    </row>
    <row r="692" spans="1:14" ht="20.100000000000001" customHeight="1" x14ac:dyDescent="0.25">
      <c r="A692" s="15" t="s">
        <v>3417</v>
      </c>
      <c r="B692" s="16" t="s">
        <v>78</v>
      </c>
      <c r="C692" s="15">
        <v>8401102</v>
      </c>
      <c r="D692" s="16" t="s">
        <v>17</v>
      </c>
      <c r="E692" s="15" t="s">
        <v>3418</v>
      </c>
      <c r="F692" s="21" t="str">
        <f>HYPERLINK("https://psearch.kitsapgov.com/webappa/index.html?parcelID=1246040&amp;Theme=Imagery","1246040")</f>
        <v>1246040</v>
      </c>
      <c r="G692" s="16" t="s">
        <v>3419</v>
      </c>
      <c r="H692" s="17">
        <v>45065</v>
      </c>
      <c r="I692" s="18">
        <v>820000</v>
      </c>
      <c r="J692" s="19">
        <v>0.25</v>
      </c>
      <c r="K692" s="16" t="s">
        <v>308</v>
      </c>
      <c r="L692" s="16" t="s">
        <v>38</v>
      </c>
      <c r="M692" s="16" t="s">
        <v>3420</v>
      </c>
      <c r="N692" s="16" t="s">
        <v>3421</v>
      </c>
    </row>
    <row r="693" spans="1:14" ht="20.100000000000001" customHeight="1" x14ac:dyDescent="0.25">
      <c r="A693" s="15" t="s">
        <v>3422</v>
      </c>
      <c r="B693" s="16" t="s">
        <v>159</v>
      </c>
      <c r="C693" s="15">
        <v>9100541</v>
      </c>
      <c r="D693" s="16" t="s">
        <v>186</v>
      </c>
      <c r="E693" s="15" t="s">
        <v>3423</v>
      </c>
      <c r="F693" s="21" t="str">
        <f>HYPERLINK("https://psearch.kitsapgov.com/webappa/index.html?parcelID=1452127&amp;Theme=Imagery","1452127")</f>
        <v>1452127</v>
      </c>
      <c r="G693" s="16" t="s">
        <v>3424</v>
      </c>
      <c r="H693" s="17">
        <v>45076</v>
      </c>
      <c r="I693" s="18">
        <v>315000</v>
      </c>
      <c r="J693" s="19">
        <v>0.15</v>
      </c>
      <c r="K693" s="16" t="s">
        <v>109</v>
      </c>
      <c r="L693" s="16" t="s">
        <v>20</v>
      </c>
      <c r="M693" s="16" t="s">
        <v>3425</v>
      </c>
      <c r="N693" s="16" t="s">
        <v>3426</v>
      </c>
    </row>
    <row r="694" spans="1:14" ht="20.100000000000001" customHeight="1" x14ac:dyDescent="0.25">
      <c r="A694" s="15" t="s">
        <v>3427</v>
      </c>
      <c r="B694" s="16" t="s">
        <v>185</v>
      </c>
      <c r="C694" s="15">
        <v>9402390</v>
      </c>
      <c r="D694" s="16" t="s">
        <v>173</v>
      </c>
      <c r="E694" s="15" t="s">
        <v>3428</v>
      </c>
      <c r="F694" s="21" t="str">
        <f>HYPERLINK("https://psearch.kitsapgov.com/webappa/index.html?parcelID=1506682&amp;Theme=Imagery","1506682")</f>
        <v>1506682</v>
      </c>
      <c r="G694" s="16" t="s">
        <v>3429</v>
      </c>
      <c r="H694" s="17">
        <v>45086</v>
      </c>
      <c r="I694" s="18">
        <v>859000</v>
      </c>
      <c r="J694" s="19">
        <v>0.2</v>
      </c>
      <c r="K694" s="16" t="s">
        <v>3430</v>
      </c>
      <c r="L694" s="16" t="s">
        <v>20</v>
      </c>
      <c r="M694" s="16" t="s">
        <v>3431</v>
      </c>
      <c r="N694" s="16" t="s">
        <v>3432</v>
      </c>
    </row>
    <row r="695" spans="1:14" ht="20.100000000000001" customHeight="1" x14ac:dyDescent="0.25">
      <c r="A695" s="15" t="s">
        <v>3433</v>
      </c>
      <c r="B695" s="16" t="s">
        <v>105</v>
      </c>
      <c r="C695" s="15">
        <v>8100505</v>
      </c>
      <c r="D695" s="16" t="s">
        <v>670</v>
      </c>
      <c r="E695" s="15" t="s">
        <v>3434</v>
      </c>
      <c r="F695" s="21" t="str">
        <f>HYPERLINK("https://psearch.kitsapgov.com/webappa/index.html?parcelID=1496942&amp;Theme=Imagery","1496942")</f>
        <v>1496942</v>
      </c>
      <c r="G695" s="16" t="s">
        <v>3435</v>
      </c>
      <c r="H695" s="17">
        <v>45091</v>
      </c>
      <c r="I695" s="18">
        <v>120000</v>
      </c>
      <c r="J695" s="19">
        <v>0.17</v>
      </c>
      <c r="K695" s="16" t="s">
        <v>673</v>
      </c>
      <c r="L695" s="16" t="s">
        <v>20</v>
      </c>
      <c r="M695" s="16" t="s">
        <v>3436</v>
      </c>
      <c r="N695" s="16" t="s">
        <v>3437</v>
      </c>
    </row>
    <row r="696" spans="1:14" ht="20.100000000000001" customHeight="1" x14ac:dyDescent="0.25">
      <c r="A696" s="15" t="s">
        <v>3438</v>
      </c>
      <c r="B696" s="16" t="s">
        <v>105</v>
      </c>
      <c r="C696" s="15">
        <v>8100502</v>
      </c>
      <c r="D696" s="16" t="s">
        <v>142</v>
      </c>
      <c r="E696" s="15" t="s">
        <v>3439</v>
      </c>
      <c r="F696" s="21" t="str">
        <f>HYPERLINK("https://psearch.kitsapgov.com/webappa/index.html?parcelID=1451855&amp;Theme=Imagery","1451855")</f>
        <v>1451855</v>
      </c>
      <c r="G696" s="16" t="s">
        <v>3440</v>
      </c>
      <c r="H696" s="17">
        <v>45091</v>
      </c>
      <c r="I696" s="18">
        <v>5500</v>
      </c>
      <c r="J696" s="19">
        <v>0.12</v>
      </c>
      <c r="K696" s="16" t="s">
        <v>168</v>
      </c>
      <c r="L696" s="16" t="s">
        <v>38</v>
      </c>
      <c r="M696" s="16" t="s">
        <v>2927</v>
      </c>
      <c r="N696" s="16" t="s">
        <v>3441</v>
      </c>
    </row>
    <row r="697" spans="1:14" ht="20.100000000000001" customHeight="1" x14ac:dyDescent="0.25">
      <c r="A697" s="15" t="s">
        <v>3442</v>
      </c>
      <c r="B697" s="16" t="s">
        <v>48</v>
      </c>
      <c r="C697" s="15">
        <v>8401101</v>
      </c>
      <c r="D697" s="16" t="s">
        <v>305</v>
      </c>
      <c r="E697" s="15" t="s">
        <v>1519</v>
      </c>
      <c r="F697" s="21" t="str">
        <f>HYPERLINK("https://psearch.kitsapgov.com/webappa/index.html?parcelID=2660363&amp;Theme=Imagery","2660363")</f>
        <v>2660363</v>
      </c>
      <c r="G697" s="16" t="s">
        <v>1520</v>
      </c>
      <c r="H697" s="17">
        <v>45098</v>
      </c>
      <c r="I697" s="18">
        <v>2885</v>
      </c>
      <c r="J697" s="19">
        <v>7.18</v>
      </c>
      <c r="K697" s="16" t="s">
        <v>37</v>
      </c>
      <c r="L697" s="16" t="s">
        <v>631</v>
      </c>
      <c r="M697" s="16" t="s">
        <v>1522</v>
      </c>
      <c r="N697" s="16" t="s">
        <v>907</v>
      </c>
    </row>
    <row r="698" spans="1:14" ht="20.100000000000001" customHeight="1" x14ac:dyDescent="0.25">
      <c r="A698" s="15" t="s">
        <v>3443</v>
      </c>
      <c r="B698" s="16" t="s">
        <v>78</v>
      </c>
      <c r="C698" s="15">
        <v>8401101</v>
      </c>
      <c r="D698" s="16" t="s">
        <v>305</v>
      </c>
      <c r="E698" s="15" t="s">
        <v>3444</v>
      </c>
      <c r="F698" s="21" t="str">
        <f>HYPERLINK("https://psearch.kitsapgov.com/webappa/index.html?parcelID=1222934&amp;Theme=Imagery","1222934")</f>
        <v>1222934</v>
      </c>
      <c r="G698" s="16" t="s">
        <v>3445</v>
      </c>
      <c r="H698" s="17">
        <v>45088</v>
      </c>
      <c r="I698" s="18">
        <v>1430</v>
      </c>
      <c r="J698" s="19">
        <v>2.3199999999999998</v>
      </c>
      <c r="K698" s="16" t="s">
        <v>37</v>
      </c>
      <c r="L698" s="16" t="s">
        <v>631</v>
      </c>
      <c r="M698" s="16" t="s">
        <v>3446</v>
      </c>
      <c r="N698" s="16" t="s">
        <v>907</v>
      </c>
    </row>
    <row r="699" spans="1:14" ht="20.100000000000001" customHeight="1" x14ac:dyDescent="0.25">
      <c r="A699" s="15" t="s">
        <v>3447</v>
      </c>
      <c r="B699" s="16" t="s">
        <v>1044</v>
      </c>
      <c r="C699" s="15">
        <v>8401101</v>
      </c>
      <c r="D699" s="16" t="s">
        <v>305</v>
      </c>
      <c r="E699" s="15" t="s">
        <v>3448</v>
      </c>
      <c r="F699" s="21" t="str">
        <f>HYPERLINK("https://psearch.kitsapgov.com/webappa/index.html?parcelID=2685907&amp;Theme=Imagery","2685907")</f>
        <v>2685907</v>
      </c>
      <c r="G699" s="16" t="s">
        <v>3449</v>
      </c>
      <c r="H699" s="17">
        <v>45090</v>
      </c>
      <c r="I699" s="18">
        <v>1665</v>
      </c>
      <c r="J699" s="19">
        <v>6.46</v>
      </c>
      <c r="K699" s="16" t="s">
        <v>37</v>
      </c>
      <c r="L699" s="16" t="s">
        <v>631</v>
      </c>
      <c r="M699" s="16" t="s">
        <v>1521</v>
      </c>
      <c r="N699" s="16" t="s">
        <v>907</v>
      </c>
    </row>
    <row r="700" spans="1:14" ht="20.100000000000001" customHeight="1" x14ac:dyDescent="0.25">
      <c r="A700" s="15" t="s">
        <v>3450</v>
      </c>
      <c r="B700" s="16" t="s">
        <v>280</v>
      </c>
      <c r="C700" s="15">
        <v>8401104</v>
      </c>
      <c r="D700" s="16" t="s">
        <v>241</v>
      </c>
      <c r="E700" s="15" t="s">
        <v>3451</v>
      </c>
      <c r="F700" s="21" t="str">
        <f>HYPERLINK("https://psearch.kitsapgov.com/webappa/index.html?parcelID=1222959&amp;Theme=Imagery","1222959")</f>
        <v>1222959</v>
      </c>
      <c r="G700" s="16" t="s">
        <v>3452</v>
      </c>
      <c r="H700" s="17">
        <v>45085</v>
      </c>
      <c r="I700" s="18">
        <v>2515</v>
      </c>
      <c r="J700" s="19">
        <v>0.43</v>
      </c>
      <c r="K700" s="16" t="s">
        <v>37</v>
      </c>
      <c r="L700" s="16" t="s">
        <v>631</v>
      </c>
      <c r="M700" s="16" t="s">
        <v>3453</v>
      </c>
      <c r="N700" s="16" t="s">
        <v>907</v>
      </c>
    </row>
    <row r="701" spans="1:14" ht="20.100000000000001" customHeight="1" x14ac:dyDescent="0.25">
      <c r="A701" s="15" t="s">
        <v>3454</v>
      </c>
      <c r="B701" s="16" t="s">
        <v>105</v>
      </c>
      <c r="C701" s="15">
        <v>8401101</v>
      </c>
      <c r="D701" s="16" t="s">
        <v>305</v>
      </c>
      <c r="E701" s="15" t="s">
        <v>3455</v>
      </c>
      <c r="F701" s="21" t="str">
        <f>HYPERLINK("https://psearch.kitsapgov.com/webappa/index.html?parcelID=1224203&amp;Theme=Imagery","1224203")</f>
        <v>1224203</v>
      </c>
      <c r="G701" s="16" t="s">
        <v>3456</v>
      </c>
      <c r="H701" s="17">
        <v>45092</v>
      </c>
      <c r="I701" s="18">
        <v>1960</v>
      </c>
      <c r="J701" s="19">
        <v>1</v>
      </c>
      <c r="K701" s="16" t="s">
        <v>37</v>
      </c>
      <c r="L701" s="16" t="s">
        <v>631</v>
      </c>
      <c r="M701" s="16" t="s">
        <v>3457</v>
      </c>
      <c r="N701" s="16" t="s">
        <v>907</v>
      </c>
    </row>
    <row r="702" spans="1:14" ht="20.100000000000001" customHeight="1" x14ac:dyDescent="0.25">
      <c r="A702" s="15" t="s">
        <v>3458</v>
      </c>
      <c r="B702" s="16" t="s">
        <v>130</v>
      </c>
      <c r="C702" s="15">
        <v>8401104</v>
      </c>
      <c r="D702" s="16" t="s">
        <v>241</v>
      </c>
      <c r="E702" s="15" t="s">
        <v>3459</v>
      </c>
      <c r="F702" s="21" t="str">
        <f>HYPERLINK("https://psearch.kitsapgov.com/webappa/index.html?parcelID=1220110&amp;Theme=Imagery","1220110")</f>
        <v>1220110</v>
      </c>
      <c r="G702" s="16" t="s">
        <v>3460</v>
      </c>
      <c r="H702" s="17">
        <v>45100</v>
      </c>
      <c r="I702" s="18">
        <v>4470</v>
      </c>
      <c r="J702" s="19">
        <v>0.31</v>
      </c>
      <c r="K702" s="16" t="s">
        <v>82</v>
      </c>
      <c r="L702" s="16" t="s">
        <v>631</v>
      </c>
      <c r="M702" s="16" t="s">
        <v>3461</v>
      </c>
      <c r="N702" s="16" t="s">
        <v>907</v>
      </c>
    </row>
    <row r="703" spans="1:14" ht="20.100000000000001" customHeight="1" x14ac:dyDescent="0.25">
      <c r="A703" s="15" t="s">
        <v>3462</v>
      </c>
      <c r="B703" s="16" t="s">
        <v>24</v>
      </c>
      <c r="C703" s="15">
        <v>8402408</v>
      </c>
      <c r="D703" s="16" t="s">
        <v>160</v>
      </c>
      <c r="E703" s="15" t="s">
        <v>3463</v>
      </c>
      <c r="F703" s="21" t="str">
        <f>HYPERLINK("https://psearch.kitsapgov.com/webappa/index.html?parcelID=1169150&amp;Theme=Imagery","1169150")</f>
        <v>1169150</v>
      </c>
      <c r="G703" s="16" t="s">
        <v>3464</v>
      </c>
      <c r="H703" s="17">
        <v>45086</v>
      </c>
      <c r="I703" s="18">
        <v>1250000</v>
      </c>
      <c r="J703" s="19">
        <v>5.15</v>
      </c>
      <c r="K703" s="16" t="s">
        <v>37</v>
      </c>
      <c r="L703" s="16" t="s">
        <v>20</v>
      </c>
      <c r="M703" s="16" t="s">
        <v>3465</v>
      </c>
      <c r="N703" s="16" t="s">
        <v>720</v>
      </c>
    </row>
    <row r="704" spans="1:14" ht="20.100000000000001" customHeight="1" x14ac:dyDescent="0.25">
      <c r="A704" s="15" t="s">
        <v>3466</v>
      </c>
      <c r="B704" s="16" t="s">
        <v>105</v>
      </c>
      <c r="C704" s="15">
        <v>8401104</v>
      </c>
      <c r="D704" s="16" t="s">
        <v>241</v>
      </c>
      <c r="E704" s="15" t="s">
        <v>3467</v>
      </c>
      <c r="F704" s="21" t="str">
        <f>HYPERLINK("https://psearch.kitsapgov.com/webappa/index.html?parcelID=1915883&amp;Theme=Imagery","1915883")</f>
        <v>1915883</v>
      </c>
      <c r="G704" s="16" t="s">
        <v>3468</v>
      </c>
      <c r="H704" s="17">
        <v>45103</v>
      </c>
      <c r="I704" s="18">
        <v>2030</v>
      </c>
      <c r="J704" s="19">
        <v>1.34</v>
      </c>
      <c r="K704" s="16" t="s">
        <v>37</v>
      </c>
      <c r="L704" s="16" t="s">
        <v>631</v>
      </c>
      <c r="M704" s="16" t="s">
        <v>3469</v>
      </c>
      <c r="N704" s="16" t="s">
        <v>907</v>
      </c>
    </row>
    <row r="705" spans="1:14" ht="20.100000000000001" customHeight="1" x14ac:dyDescent="0.25">
      <c r="A705" s="15" t="s">
        <v>3470</v>
      </c>
      <c r="B705" s="16" t="s">
        <v>909</v>
      </c>
      <c r="C705" s="15">
        <v>9100542</v>
      </c>
      <c r="D705" s="16" t="s">
        <v>360</v>
      </c>
      <c r="E705" s="15" t="s">
        <v>3471</v>
      </c>
      <c r="F705" s="21" t="str">
        <f>HYPERLINK("https://psearch.kitsapgov.com/webappa/index.html?parcelID=1109164&amp;Theme=Imagery","1109164")</f>
        <v>1109164</v>
      </c>
      <c r="G705" s="16" t="s">
        <v>3472</v>
      </c>
      <c r="H705" s="17">
        <v>45105</v>
      </c>
      <c r="I705" s="18">
        <v>1500000</v>
      </c>
      <c r="J705" s="19">
        <v>2.52</v>
      </c>
      <c r="K705" s="16" t="s">
        <v>377</v>
      </c>
      <c r="L705" s="16" t="s">
        <v>20</v>
      </c>
      <c r="M705" s="16" t="s">
        <v>3473</v>
      </c>
      <c r="N705" s="16" t="s">
        <v>3474</v>
      </c>
    </row>
    <row r="706" spans="1:14" ht="20.100000000000001" customHeight="1" x14ac:dyDescent="0.25">
      <c r="A706" s="15" t="s">
        <v>3475</v>
      </c>
      <c r="B706" s="16" t="s">
        <v>42</v>
      </c>
      <c r="C706" s="15">
        <v>9400203</v>
      </c>
      <c r="D706" s="16" t="s">
        <v>49</v>
      </c>
      <c r="E706" s="15" t="s">
        <v>3476</v>
      </c>
      <c r="F706" s="21" t="str">
        <f>HYPERLINK("https://psearch.kitsapgov.com/webappa/index.html?parcelID=1340199&amp;Theme=Imagery","1340199")</f>
        <v>1340199</v>
      </c>
      <c r="G706" s="16" t="s">
        <v>3477</v>
      </c>
      <c r="H706" s="17">
        <v>45105</v>
      </c>
      <c r="I706" s="18">
        <v>1760000</v>
      </c>
      <c r="J706" s="19">
        <v>0.84</v>
      </c>
      <c r="K706" s="16" t="s">
        <v>471</v>
      </c>
      <c r="L706" s="16" t="s">
        <v>20</v>
      </c>
      <c r="M706" s="16" t="s">
        <v>3478</v>
      </c>
      <c r="N706" s="16" t="s">
        <v>3479</v>
      </c>
    </row>
    <row r="707" spans="1:14" ht="20.100000000000001" customHeight="1" x14ac:dyDescent="0.25">
      <c r="A707" s="15" t="s">
        <v>3480</v>
      </c>
      <c r="B707" s="16" t="s">
        <v>105</v>
      </c>
      <c r="C707" s="15">
        <v>8400204</v>
      </c>
      <c r="D707" s="16" t="s">
        <v>194</v>
      </c>
      <c r="E707" s="15" t="s">
        <v>3481</v>
      </c>
      <c r="F707" s="21" t="str">
        <f>HYPERLINK("https://psearch.kitsapgov.com/webappa/index.html?parcelID=2414340&amp;Theme=Imagery","2414340")</f>
        <v>2414340</v>
      </c>
      <c r="G707" s="16" t="s">
        <v>3482</v>
      </c>
      <c r="H707" s="17">
        <v>45103</v>
      </c>
      <c r="I707" s="18">
        <v>250000</v>
      </c>
      <c r="J707" s="19">
        <v>0.71</v>
      </c>
      <c r="K707" s="16" t="s">
        <v>583</v>
      </c>
      <c r="L707" s="16" t="s">
        <v>20</v>
      </c>
      <c r="M707" s="16" t="s">
        <v>3483</v>
      </c>
      <c r="N707" s="16" t="s">
        <v>3484</v>
      </c>
    </row>
    <row r="708" spans="1:14" ht="20.100000000000001" customHeight="1" x14ac:dyDescent="0.25">
      <c r="A708" s="15" t="s">
        <v>3485</v>
      </c>
      <c r="B708" s="16" t="s">
        <v>1459</v>
      </c>
      <c r="C708" s="15">
        <v>8100501</v>
      </c>
      <c r="D708" s="16" t="s">
        <v>63</v>
      </c>
      <c r="E708" s="15" t="s">
        <v>3486</v>
      </c>
      <c r="F708" s="21" t="str">
        <f>HYPERLINK("https://psearch.kitsapgov.com/webappa/index.html?parcelID=1426675&amp;Theme=Imagery","1426675")</f>
        <v>1426675</v>
      </c>
      <c r="G708" s="16" t="s">
        <v>3487</v>
      </c>
      <c r="H708" s="17">
        <v>45106</v>
      </c>
      <c r="I708" s="18">
        <v>818161</v>
      </c>
      <c r="J708" s="19">
        <v>0.14000000000000001</v>
      </c>
      <c r="K708" s="16" t="s">
        <v>93</v>
      </c>
      <c r="L708" s="16" t="s">
        <v>38</v>
      </c>
      <c r="M708" s="16" t="s">
        <v>3488</v>
      </c>
      <c r="N708" s="16" t="s">
        <v>3489</v>
      </c>
    </row>
    <row r="709" spans="1:14" ht="20.100000000000001" customHeight="1" x14ac:dyDescent="0.25">
      <c r="A709" s="15" t="s">
        <v>3490</v>
      </c>
      <c r="B709" s="16" t="s">
        <v>2451</v>
      </c>
      <c r="C709" s="15">
        <v>9402401</v>
      </c>
      <c r="D709" s="16" t="s">
        <v>434</v>
      </c>
      <c r="E709" s="15" t="s">
        <v>3491</v>
      </c>
      <c r="F709" s="21" t="str">
        <f>HYPERLINK("https://psearch.kitsapgov.com/webappa/index.html?parcelID=1800861&amp;Theme=Imagery","1800861")</f>
        <v>1800861</v>
      </c>
      <c r="G709" s="16" t="s">
        <v>3492</v>
      </c>
      <c r="H709" s="17">
        <v>45106</v>
      </c>
      <c r="I709" s="18">
        <v>1175000</v>
      </c>
      <c r="J709" s="19">
        <v>6.34</v>
      </c>
      <c r="K709" s="16" t="s">
        <v>3493</v>
      </c>
      <c r="L709" s="16" t="s">
        <v>20</v>
      </c>
      <c r="M709" s="16" t="s">
        <v>3494</v>
      </c>
      <c r="N709" s="16" t="s">
        <v>3495</v>
      </c>
    </row>
    <row r="710" spans="1:14" ht="20.100000000000001" customHeight="1" x14ac:dyDescent="0.25">
      <c r="A710" s="15" t="s">
        <v>3496</v>
      </c>
      <c r="B710" s="16" t="s">
        <v>62</v>
      </c>
      <c r="C710" s="15">
        <v>8402307</v>
      </c>
      <c r="D710" s="16" t="s">
        <v>131</v>
      </c>
      <c r="E710" s="15" t="s">
        <v>3497</v>
      </c>
      <c r="F710" s="21" t="str">
        <f>HYPERLINK("https://psearch.kitsapgov.com/webappa/index.html?parcelID=2492775&amp;Theme=Imagery","2492775")</f>
        <v>2492775</v>
      </c>
      <c r="G710" s="16" t="s">
        <v>3498</v>
      </c>
      <c r="H710" s="17">
        <v>45106</v>
      </c>
      <c r="I710" s="18">
        <v>1400000</v>
      </c>
      <c r="J710" s="19">
        <v>0.67</v>
      </c>
      <c r="K710" s="16" t="s">
        <v>515</v>
      </c>
      <c r="L710" s="16" t="s">
        <v>20</v>
      </c>
      <c r="M710" s="16" t="s">
        <v>3499</v>
      </c>
      <c r="N710" s="16" t="s">
        <v>3500</v>
      </c>
    </row>
    <row r="711" spans="1:14" ht="20.100000000000001" customHeight="1" x14ac:dyDescent="0.25">
      <c r="A711" s="15" t="s">
        <v>3501</v>
      </c>
      <c r="B711" s="16" t="s">
        <v>834</v>
      </c>
      <c r="C711" s="15">
        <v>8400302</v>
      </c>
      <c r="D711" s="16" t="s">
        <v>397</v>
      </c>
      <c r="E711" s="15" t="s">
        <v>3502</v>
      </c>
      <c r="F711" s="21" t="str">
        <f>HYPERLINK("https://psearch.kitsapgov.com/webappa/index.html?parcelID=2383289&amp;Theme=Imagery","2383289")</f>
        <v>2383289</v>
      </c>
      <c r="G711" s="16" t="s">
        <v>3503</v>
      </c>
      <c r="H711" s="17">
        <v>45107</v>
      </c>
      <c r="I711" s="18">
        <v>725000</v>
      </c>
      <c r="J711" s="19">
        <v>0.49</v>
      </c>
      <c r="K711" s="16" t="s">
        <v>343</v>
      </c>
      <c r="L711" s="16" t="s">
        <v>20</v>
      </c>
      <c r="M711" s="16" t="s">
        <v>3504</v>
      </c>
      <c r="N711" s="16" t="s">
        <v>3505</v>
      </c>
    </row>
    <row r="712" spans="1:14" ht="20.100000000000001" customHeight="1" x14ac:dyDescent="0.25">
      <c r="A712" s="15" t="s">
        <v>3506</v>
      </c>
      <c r="B712" s="16" t="s">
        <v>98</v>
      </c>
      <c r="C712" s="15">
        <v>8400206</v>
      </c>
      <c r="D712" s="16" t="s">
        <v>99</v>
      </c>
      <c r="E712" s="15" t="s">
        <v>3507</v>
      </c>
      <c r="F712" s="21" t="str">
        <f>HYPERLINK("https://psearch.kitsapgov.com/webappa/index.html?parcelID=2071264&amp;Theme=Imagery","2071264")</f>
        <v>2071264</v>
      </c>
      <c r="G712" s="16" t="s">
        <v>3508</v>
      </c>
      <c r="H712" s="17">
        <v>45107</v>
      </c>
      <c r="I712" s="18">
        <v>50000</v>
      </c>
      <c r="J712" s="19">
        <v>0</v>
      </c>
      <c r="L712" s="16" t="s">
        <v>20</v>
      </c>
      <c r="M712" s="16" t="s">
        <v>3509</v>
      </c>
      <c r="N712" s="16" t="s">
        <v>3510</v>
      </c>
    </row>
    <row r="713" spans="1:14" ht="20.100000000000001" customHeight="1" x14ac:dyDescent="0.25">
      <c r="A713" s="15" t="s">
        <v>3511</v>
      </c>
      <c r="B713" s="16" t="s">
        <v>159</v>
      </c>
      <c r="C713" s="15">
        <v>8401101</v>
      </c>
      <c r="D713" s="16" t="s">
        <v>305</v>
      </c>
      <c r="E713" s="15" t="s">
        <v>3512</v>
      </c>
      <c r="F713" s="21" t="str">
        <f>HYPERLINK("https://psearch.kitsapgov.com/webappa/index.html?parcelID=1224088&amp;Theme=Imagery","1224088")</f>
        <v>1224088</v>
      </c>
      <c r="G713" s="16" t="s">
        <v>3513</v>
      </c>
      <c r="H713" s="17">
        <v>45092</v>
      </c>
      <c r="I713" s="18">
        <v>11000</v>
      </c>
      <c r="J713" s="19">
        <v>0.34</v>
      </c>
      <c r="K713" s="16" t="s">
        <v>37</v>
      </c>
      <c r="L713" s="16" t="s">
        <v>631</v>
      </c>
      <c r="M713" s="16" t="s">
        <v>3457</v>
      </c>
      <c r="N713" s="16" t="s">
        <v>907</v>
      </c>
    </row>
    <row r="714" spans="1:14" ht="20.100000000000001" customHeight="1" x14ac:dyDescent="0.25">
      <c r="A714" s="15" t="s">
        <v>3514</v>
      </c>
      <c r="B714" s="16" t="s">
        <v>78</v>
      </c>
      <c r="C714" s="15">
        <v>9401190</v>
      </c>
      <c r="D714" s="16" t="s">
        <v>330</v>
      </c>
      <c r="E714" s="15" t="s">
        <v>3515</v>
      </c>
      <c r="F714" s="21" t="str">
        <f>HYPERLINK("https://psearch.kitsapgov.com/webappa/index.html?parcelID=1223080&amp;Theme=Imagery","1223080")</f>
        <v>1223080</v>
      </c>
      <c r="G714" s="16" t="s">
        <v>3516</v>
      </c>
      <c r="H714" s="17">
        <v>45104</v>
      </c>
      <c r="I714" s="18">
        <v>3275</v>
      </c>
      <c r="J714" s="19">
        <v>0.79</v>
      </c>
      <c r="K714" s="16" t="s">
        <v>37</v>
      </c>
      <c r="L714" s="16" t="s">
        <v>631</v>
      </c>
      <c r="M714" s="16" t="s">
        <v>3517</v>
      </c>
      <c r="N714" s="16" t="s">
        <v>907</v>
      </c>
    </row>
    <row r="715" spans="1:14" ht="20.100000000000001" customHeight="1" x14ac:dyDescent="0.25">
      <c r="A715" s="15" t="s">
        <v>3518</v>
      </c>
      <c r="B715" s="16" t="s">
        <v>1459</v>
      </c>
      <c r="C715" s="15">
        <v>8401101</v>
      </c>
      <c r="D715" s="16" t="s">
        <v>305</v>
      </c>
      <c r="E715" s="15" t="s">
        <v>3519</v>
      </c>
      <c r="F715" s="21" t="str">
        <f>HYPERLINK("https://psearch.kitsapgov.com/webappa/index.html?parcelID=2016764&amp;Theme=Imagery","2016764")</f>
        <v>2016764</v>
      </c>
      <c r="G715" s="16" t="s">
        <v>3520</v>
      </c>
      <c r="H715" s="17">
        <v>45113</v>
      </c>
      <c r="I715" s="18">
        <v>7000000</v>
      </c>
      <c r="J715" s="19">
        <v>5.31</v>
      </c>
      <c r="K715" s="16" t="s">
        <v>308</v>
      </c>
      <c r="L715" s="16" t="s">
        <v>20</v>
      </c>
      <c r="M715" s="16" t="s">
        <v>3521</v>
      </c>
      <c r="N715" s="16" t="s">
        <v>3522</v>
      </c>
    </row>
    <row r="716" spans="1:14" ht="20.100000000000001" customHeight="1" x14ac:dyDescent="0.25">
      <c r="A716" s="15" t="s">
        <v>3523</v>
      </c>
      <c r="B716" s="16" t="s">
        <v>909</v>
      </c>
      <c r="C716" s="15">
        <v>9402401</v>
      </c>
      <c r="D716" s="16" t="s">
        <v>434</v>
      </c>
      <c r="E716" s="15" t="s">
        <v>3524</v>
      </c>
      <c r="F716" s="21" t="str">
        <f>HYPERLINK("https://psearch.kitsapgov.com/webappa/index.html?parcelID=1676089&amp;Theme=Imagery","1676089")</f>
        <v>1676089</v>
      </c>
      <c r="G716" s="16" t="s">
        <v>3525</v>
      </c>
      <c r="H716" s="17">
        <v>45113</v>
      </c>
      <c r="I716" s="18">
        <v>375000</v>
      </c>
      <c r="J716" s="19">
        <v>0.52</v>
      </c>
      <c r="K716" s="16" t="s">
        <v>205</v>
      </c>
      <c r="L716" s="16" t="s">
        <v>213</v>
      </c>
      <c r="M716" s="16" t="s">
        <v>3526</v>
      </c>
      <c r="N716" s="16" t="s">
        <v>3527</v>
      </c>
    </row>
    <row r="717" spans="1:14" ht="20.100000000000001" customHeight="1" x14ac:dyDescent="0.25">
      <c r="A717" s="15" t="s">
        <v>3528</v>
      </c>
      <c r="B717" s="16" t="s">
        <v>153</v>
      </c>
      <c r="C717" s="15">
        <v>8100506</v>
      </c>
      <c r="D717" s="16" t="s">
        <v>286</v>
      </c>
      <c r="E717" s="15" t="s">
        <v>3529</v>
      </c>
      <c r="F717" s="21" t="str">
        <f>HYPERLINK("https://psearch.kitsapgov.com/webappa/index.html?parcelID=1493808&amp;Theme=Imagery","1493808")</f>
        <v>1493808</v>
      </c>
      <c r="G717" s="16" t="s">
        <v>3530</v>
      </c>
      <c r="H717" s="17">
        <v>45076</v>
      </c>
      <c r="I717" s="18">
        <v>1050000</v>
      </c>
      <c r="J717" s="19">
        <v>0.6</v>
      </c>
      <c r="K717" s="16" t="s">
        <v>168</v>
      </c>
      <c r="L717" s="16" t="s">
        <v>20</v>
      </c>
      <c r="M717" s="16" t="s">
        <v>3531</v>
      </c>
      <c r="N717" s="16" t="s">
        <v>3532</v>
      </c>
    </row>
    <row r="718" spans="1:14" ht="20.100000000000001" customHeight="1" x14ac:dyDescent="0.25">
      <c r="A718" s="15" t="s">
        <v>3533</v>
      </c>
      <c r="B718" s="16" t="s">
        <v>793</v>
      </c>
      <c r="C718" s="15">
        <v>8402405</v>
      </c>
      <c r="D718" s="16" t="s">
        <v>71</v>
      </c>
      <c r="E718" s="15" t="s">
        <v>3534</v>
      </c>
      <c r="F718" s="21" t="str">
        <f>HYPERLINK("https://psearch.kitsapgov.com/webappa/index.html?parcelID=1050293&amp;Theme=Imagery","1050293")</f>
        <v>1050293</v>
      </c>
      <c r="G718" s="16" t="s">
        <v>3535</v>
      </c>
      <c r="H718" s="17">
        <v>45120</v>
      </c>
      <c r="I718" s="18">
        <v>2240000</v>
      </c>
      <c r="J718" s="19">
        <v>4.03</v>
      </c>
      <c r="K718" s="16" t="s">
        <v>74</v>
      </c>
      <c r="L718" s="16" t="s">
        <v>20</v>
      </c>
      <c r="M718" s="16" t="s">
        <v>75</v>
      </c>
      <c r="N718" s="16" t="s">
        <v>3536</v>
      </c>
    </row>
    <row r="719" spans="1:14" ht="20.100000000000001" customHeight="1" x14ac:dyDescent="0.25">
      <c r="A719" s="15" t="s">
        <v>3537</v>
      </c>
      <c r="B719" s="16" t="s">
        <v>42</v>
      </c>
      <c r="C719" s="15">
        <v>8402307</v>
      </c>
      <c r="D719" s="16" t="s">
        <v>131</v>
      </c>
      <c r="E719" s="15" t="s">
        <v>3538</v>
      </c>
      <c r="F719" s="21" t="str">
        <f>HYPERLINK("https://psearch.kitsapgov.com/webappa/index.html?parcelID=1175876&amp;Theme=Imagery","1175876")</f>
        <v>1175876</v>
      </c>
      <c r="G719" s="16" t="s">
        <v>3539</v>
      </c>
      <c r="H719" s="17">
        <v>45117</v>
      </c>
      <c r="I719" s="18">
        <v>6500</v>
      </c>
      <c r="J719" s="19">
        <v>0.65</v>
      </c>
      <c r="K719" s="16" t="s">
        <v>515</v>
      </c>
      <c r="L719" s="16" t="s">
        <v>631</v>
      </c>
      <c r="M719" s="16" t="s">
        <v>3540</v>
      </c>
      <c r="N719" s="16" t="s">
        <v>907</v>
      </c>
    </row>
    <row r="720" spans="1:14" ht="20.100000000000001" customHeight="1" x14ac:dyDescent="0.25">
      <c r="A720" s="15" t="s">
        <v>3541</v>
      </c>
      <c r="B720" s="16" t="s">
        <v>909</v>
      </c>
      <c r="C720" s="15">
        <v>8402307</v>
      </c>
      <c r="D720" s="16" t="s">
        <v>131</v>
      </c>
      <c r="E720" s="15" t="s">
        <v>3542</v>
      </c>
      <c r="F720" s="21" t="str">
        <f>HYPERLINK("https://psearch.kitsapgov.com/webappa/index.html?parcelID=2175800&amp;Theme=Imagery","2175800")</f>
        <v>2175800</v>
      </c>
      <c r="G720" s="16" t="s">
        <v>3543</v>
      </c>
      <c r="H720" s="17">
        <v>45117</v>
      </c>
      <c r="I720" s="18">
        <v>6500</v>
      </c>
      <c r="J720" s="19">
        <v>0.5</v>
      </c>
      <c r="K720" s="16" t="s">
        <v>515</v>
      </c>
      <c r="L720" s="16" t="s">
        <v>631</v>
      </c>
      <c r="M720" s="16" t="s">
        <v>3544</v>
      </c>
      <c r="N720" s="16" t="s">
        <v>907</v>
      </c>
    </row>
    <row r="721" spans="1:14" ht="20.100000000000001" customHeight="1" x14ac:dyDescent="0.25">
      <c r="A721" s="15" t="s">
        <v>3545</v>
      </c>
      <c r="B721" s="16" t="s">
        <v>78</v>
      </c>
      <c r="C721" s="15">
        <v>8402305</v>
      </c>
      <c r="D721" s="16" t="s">
        <v>452</v>
      </c>
      <c r="E721" s="15" t="s">
        <v>3371</v>
      </c>
      <c r="F721" s="21" t="str">
        <f>HYPERLINK("https://psearch.kitsapgov.com/webappa/index.html?parcelID=1162346&amp;Theme=Imagery","1162346")</f>
        <v>1162346</v>
      </c>
      <c r="G721" s="16" t="s">
        <v>3372</v>
      </c>
      <c r="H721" s="17">
        <v>45120</v>
      </c>
      <c r="I721" s="18">
        <v>370000</v>
      </c>
      <c r="J721" s="19">
        <v>0.1</v>
      </c>
      <c r="K721" s="16" t="s">
        <v>455</v>
      </c>
      <c r="L721" s="16" t="s">
        <v>20</v>
      </c>
      <c r="M721" s="16" t="s">
        <v>3546</v>
      </c>
      <c r="N721" s="16" t="s">
        <v>3547</v>
      </c>
    </row>
    <row r="722" spans="1:14" ht="20.100000000000001" customHeight="1" x14ac:dyDescent="0.25">
      <c r="A722" s="15" t="s">
        <v>3548</v>
      </c>
      <c r="B722" s="16" t="s">
        <v>105</v>
      </c>
      <c r="C722" s="15">
        <v>8401508</v>
      </c>
      <c r="D722" s="16" t="s">
        <v>1341</v>
      </c>
      <c r="E722" s="15" t="s">
        <v>3549</v>
      </c>
      <c r="F722" s="21" t="str">
        <f>HYPERLINK("https://psearch.kitsapgov.com/webappa/index.html?parcelID=1278480&amp;Theme=Imagery","1278480")</f>
        <v>1278480</v>
      </c>
      <c r="G722" s="16" t="s">
        <v>3550</v>
      </c>
      <c r="H722" s="17">
        <v>45124</v>
      </c>
      <c r="I722" s="18">
        <v>142000</v>
      </c>
      <c r="J722" s="19">
        <v>1</v>
      </c>
      <c r="K722" s="16" t="s">
        <v>37</v>
      </c>
      <c r="L722" s="16" t="s">
        <v>38</v>
      </c>
      <c r="M722" s="16" t="s">
        <v>3551</v>
      </c>
      <c r="N722" s="16" t="s">
        <v>1567</v>
      </c>
    </row>
    <row r="723" spans="1:14" ht="20.100000000000001" customHeight="1" x14ac:dyDescent="0.25">
      <c r="A723" s="15" t="s">
        <v>3552</v>
      </c>
      <c r="B723" s="16" t="s">
        <v>512</v>
      </c>
      <c r="C723" s="15">
        <v>8100506</v>
      </c>
      <c r="D723" s="16" t="s">
        <v>286</v>
      </c>
      <c r="E723" s="15" t="s">
        <v>3553</v>
      </c>
      <c r="F723" s="21" t="str">
        <f>HYPERLINK("https://psearch.kitsapgov.com/webappa/index.html?parcelID=2598746&amp;Theme=Imagery","2598746")</f>
        <v>2598746</v>
      </c>
      <c r="G723" s="16" t="s">
        <v>3554</v>
      </c>
      <c r="H723" s="17">
        <v>45125</v>
      </c>
      <c r="I723" s="18">
        <v>2541000</v>
      </c>
      <c r="J723" s="19">
        <v>1.5</v>
      </c>
      <c r="K723" s="16" t="s">
        <v>109</v>
      </c>
      <c r="L723" s="16" t="s">
        <v>38</v>
      </c>
      <c r="M723" s="16" t="s">
        <v>3555</v>
      </c>
      <c r="N723" s="16" t="s">
        <v>3556</v>
      </c>
    </row>
    <row r="724" spans="1:14" ht="20.100000000000001" customHeight="1" x14ac:dyDescent="0.25">
      <c r="A724" s="15" t="s">
        <v>3557</v>
      </c>
      <c r="B724" s="16" t="s">
        <v>185</v>
      </c>
      <c r="C724" s="15">
        <v>8100510</v>
      </c>
      <c r="D724" s="16" t="s">
        <v>106</v>
      </c>
      <c r="E724" s="15" t="s">
        <v>3558</v>
      </c>
      <c r="F724" s="21" t="str">
        <f>HYPERLINK("https://psearch.kitsapgov.com/webappa/index.html?parcelID=1467315&amp;Theme=Imagery","1467315")</f>
        <v>1467315</v>
      </c>
      <c r="G724" s="16" t="s">
        <v>3559</v>
      </c>
      <c r="H724" s="17">
        <v>45133</v>
      </c>
      <c r="I724" s="18">
        <v>570000</v>
      </c>
      <c r="J724" s="19">
        <v>0.12</v>
      </c>
      <c r="K724" s="16" t="s">
        <v>109</v>
      </c>
      <c r="L724" s="16" t="s">
        <v>20</v>
      </c>
      <c r="M724" s="16" t="s">
        <v>3560</v>
      </c>
      <c r="N724" s="16" t="s">
        <v>3561</v>
      </c>
    </row>
    <row r="725" spans="1:14" ht="20.100000000000001" customHeight="1" x14ac:dyDescent="0.25">
      <c r="A725" s="15" t="s">
        <v>3562</v>
      </c>
      <c r="B725" s="16" t="s">
        <v>512</v>
      </c>
      <c r="C725" s="15">
        <v>9100543</v>
      </c>
      <c r="D725" s="16" t="s">
        <v>1628</v>
      </c>
      <c r="E725" s="15" t="s">
        <v>1629</v>
      </c>
      <c r="F725" s="21" t="str">
        <f>HYPERLINK("https://psearch.kitsapgov.com/webappa/index.html?parcelID=1482058&amp;Theme=Imagery","1482058")</f>
        <v>1482058</v>
      </c>
      <c r="G725" s="16" t="s">
        <v>1630</v>
      </c>
      <c r="H725" s="17">
        <v>45134</v>
      </c>
      <c r="I725" s="18">
        <v>6500000</v>
      </c>
      <c r="J725" s="19">
        <v>2</v>
      </c>
      <c r="K725" s="16" t="s">
        <v>377</v>
      </c>
      <c r="L725" s="16" t="s">
        <v>38</v>
      </c>
      <c r="M725" s="16" t="s">
        <v>1632</v>
      </c>
      <c r="N725" s="16" t="s">
        <v>3563</v>
      </c>
    </row>
    <row r="726" spans="1:14" ht="20.100000000000001" customHeight="1" x14ac:dyDescent="0.25">
      <c r="A726" s="15" t="s">
        <v>3564</v>
      </c>
      <c r="B726" s="16" t="s">
        <v>159</v>
      </c>
      <c r="C726" s="15">
        <v>8100510</v>
      </c>
      <c r="D726" s="16" t="s">
        <v>106</v>
      </c>
      <c r="E726" s="15" t="s">
        <v>3565</v>
      </c>
      <c r="F726" s="21" t="str">
        <f>HYPERLINK("https://psearch.kitsapgov.com/webappa/index.html?parcelID=2529097&amp;Theme=Imagery","2529097")</f>
        <v>2529097</v>
      </c>
      <c r="G726" s="16" t="s">
        <v>3566</v>
      </c>
      <c r="H726" s="17">
        <v>45134</v>
      </c>
      <c r="I726" s="18">
        <v>185000</v>
      </c>
      <c r="J726" s="19">
        <v>0.19</v>
      </c>
      <c r="K726" s="16" t="s">
        <v>109</v>
      </c>
      <c r="L726" s="16" t="s">
        <v>20</v>
      </c>
      <c r="M726" s="16" t="s">
        <v>3567</v>
      </c>
      <c r="N726" s="16" t="s">
        <v>3568</v>
      </c>
    </row>
    <row r="727" spans="1:14" ht="20.100000000000001" customHeight="1" x14ac:dyDescent="0.25">
      <c r="A727" s="15" t="s">
        <v>3569</v>
      </c>
      <c r="B727" s="16" t="s">
        <v>105</v>
      </c>
      <c r="C727" s="15">
        <v>8402307</v>
      </c>
      <c r="D727" s="16" t="s">
        <v>131</v>
      </c>
      <c r="E727" s="15" t="s">
        <v>3570</v>
      </c>
      <c r="F727" s="21" t="str">
        <f>HYPERLINK("https://psearch.kitsapgov.com/webappa/index.html?parcelID=1721372&amp;Theme=Imagery","1721372")</f>
        <v>1721372</v>
      </c>
      <c r="G727" s="16" t="s">
        <v>3571</v>
      </c>
      <c r="H727" s="17">
        <v>45127</v>
      </c>
      <c r="I727" s="18">
        <v>850000</v>
      </c>
      <c r="J727" s="19">
        <v>1.59</v>
      </c>
      <c r="K727" s="16" t="s">
        <v>37</v>
      </c>
      <c r="L727" s="16" t="s">
        <v>38</v>
      </c>
      <c r="M727" s="16" t="s">
        <v>3572</v>
      </c>
      <c r="N727" s="16" t="s">
        <v>3573</v>
      </c>
    </row>
    <row r="728" spans="1:14" ht="20.100000000000001" customHeight="1" x14ac:dyDescent="0.25">
      <c r="A728" s="15" t="s">
        <v>3574</v>
      </c>
      <c r="B728" s="16" t="s">
        <v>24</v>
      </c>
      <c r="C728" s="15">
        <v>8402307</v>
      </c>
      <c r="D728" s="16" t="s">
        <v>131</v>
      </c>
      <c r="E728" s="15" t="s">
        <v>3575</v>
      </c>
      <c r="F728" s="21" t="str">
        <f>HYPERLINK("https://psearch.kitsapgov.com/webappa/index.html?parcelID=1694744&amp;Theme=Imagery","1694744")</f>
        <v>1694744</v>
      </c>
      <c r="G728" s="16" t="s">
        <v>3576</v>
      </c>
      <c r="H728" s="17">
        <v>45142</v>
      </c>
      <c r="I728" s="18">
        <v>10000</v>
      </c>
      <c r="J728" s="19">
        <v>0.37</v>
      </c>
      <c r="K728" s="16" t="s">
        <v>37</v>
      </c>
      <c r="L728" s="16" t="s">
        <v>94</v>
      </c>
      <c r="M728" s="16" t="s">
        <v>3577</v>
      </c>
      <c r="N728" s="16" t="s">
        <v>3578</v>
      </c>
    </row>
    <row r="729" spans="1:14" ht="20.100000000000001" customHeight="1" x14ac:dyDescent="0.25">
      <c r="A729" s="15" t="s">
        <v>3579</v>
      </c>
      <c r="B729" s="16" t="s">
        <v>42</v>
      </c>
      <c r="C729" s="15">
        <v>8402405</v>
      </c>
      <c r="D729" s="16" t="s">
        <v>71</v>
      </c>
      <c r="E729" s="15" t="s">
        <v>3580</v>
      </c>
      <c r="F729" s="21" t="str">
        <f>HYPERLINK("https://psearch.kitsapgov.com/webappa/index.html?parcelID=1678168&amp;Theme=Imagery","1678168")</f>
        <v>1678168</v>
      </c>
      <c r="G729" s="16" t="s">
        <v>3581</v>
      </c>
      <c r="H729" s="17">
        <v>45146</v>
      </c>
      <c r="I729" s="18">
        <v>475000</v>
      </c>
      <c r="J729" s="19">
        <v>0.48</v>
      </c>
      <c r="K729" s="16" t="s">
        <v>82</v>
      </c>
      <c r="L729" s="16" t="s">
        <v>20</v>
      </c>
      <c r="M729" s="16" t="s">
        <v>3582</v>
      </c>
      <c r="N729" s="16" t="s">
        <v>3583</v>
      </c>
    </row>
    <row r="730" spans="1:14" ht="20.100000000000001" customHeight="1" x14ac:dyDescent="0.25">
      <c r="A730" s="15" t="s">
        <v>3584</v>
      </c>
      <c r="B730" s="16" t="s">
        <v>98</v>
      </c>
      <c r="C730" s="15">
        <v>8303660</v>
      </c>
      <c r="D730" s="16" t="s">
        <v>252</v>
      </c>
      <c r="E730" s="15" t="s">
        <v>3585</v>
      </c>
      <c r="F730" s="21" t="str">
        <f>HYPERLINK("https://psearch.kitsapgov.com/webappa/index.html?parcelID=1881960&amp;Theme=Imagery","1881960")</f>
        <v>1881960</v>
      </c>
      <c r="G730" s="16" t="s">
        <v>3586</v>
      </c>
      <c r="H730" s="17">
        <v>45149</v>
      </c>
      <c r="I730" s="18">
        <v>300000</v>
      </c>
      <c r="J730" s="19">
        <v>0</v>
      </c>
      <c r="L730" s="16" t="s">
        <v>20</v>
      </c>
      <c r="M730" s="16" t="s">
        <v>1600</v>
      </c>
      <c r="N730" s="16" t="s">
        <v>3587</v>
      </c>
    </row>
    <row r="731" spans="1:14" ht="20.100000000000001" customHeight="1" x14ac:dyDescent="0.25">
      <c r="A731" s="15" t="s">
        <v>3588</v>
      </c>
      <c r="B731" s="16" t="s">
        <v>98</v>
      </c>
      <c r="C731" s="15">
        <v>8303660</v>
      </c>
      <c r="D731" s="16" t="s">
        <v>252</v>
      </c>
      <c r="E731" s="15" t="s">
        <v>3589</v>
      </c>
      <c r="F731" s="21" t="str">
        <f>HYPERLINK("https://psearch.kitsapgov.com/webappa/index.html?parcelID=1882000&amp;Theme=Imagery","1882000")</f>
        <v>1882000</v>
      </c>
      <c r="G731" s="16" t="s">
        <v>3590</v>
      </c>
      <c r="H731" s="17">
        <v>45149</v>
      </c>
      <c r="I731" s="18">
        <v>325000</v>
      </c>
      <c r="J731" s="19">
        <v>0</v>
      </c>
      <c r="L731" s="16" t="s">
        <v>20</v>
      </c>
      <c r="M731" s="16" t="s">
        <v>1600</v>
      </c>
      <c r="N731" s="16" t="s">
        <v>3591</v>
      </c>
    </row>
    <row r="732" spans="1:14" ht="20.100000000000001" customHeight="1" x14ac:dyDescent="0.25">
      <c r="A732" s="15" t="s">
        <v>3592</v>
      </c>
      <c r="B732" s="16" t="s">
        <v>130</v>
      </c>
      <c r="C732" s="15">
        <v>8401104</v>
      </c>
      <c r="D732" s="16" t="s">
        <v>241</v>
      </c>
      <c r="E732" s="15" t="s">
        <v>3593</v>
      </c>
      <c r="F732" s="21" t="str">
        <f>HYPERLINK("https://psearch.kitsapgov.com/webappa/index.html?parcelID=1115757&amp;Theme=Imagery","1115757")</f>
        <v>1115757</v>
      </c>
      <c r="G732" s="16" t="s">
        <v>3594</v>
      </c>
      <c r="H732" s="17">
        <v>45149</v>
      </c>
      <c r="I732" s="18">
        <v>6400000</v>
      </c>
      <c r="J732" s="19">
        <v>1.44</v>
      </c>
      <c r="K732" s="16" t="s">
        <v>82</v>
      </c>
      <c r="L732" s="16" t="s">
        <v>20</v>
      </c>
      <c r="M732" s="16" t="s">
        <v>3595</v>
      </c>
      <c r="N732" s="16" t="s">
        <v>3596</v>
      </c>
    </row>
    <row r="733" spans="1:14" ht="20.100000000000001" customHeight="1" x14ac:dyDescent="0.25">
      <c r="A733" s="15" t="s">
        <v>3597</v>
      </c>
      <c r="B733" s="16" t="s">
        <v>1759</v>
      </c>
      <c r="C733" s="15">
        <v>8402403</v>
      </c>
      <c r="D733" s="16" t="s">
        <v>1760</v>
      </c>
      <c r="E733" s="15" t="s">
        <v>3598</v>
      </c>
      <c r="F733" s="21" t="str">
        <f>HYPERLINK("https://psearch.kitsapgov.com/webappa/index.html?parcelID=2524536&amp;Theme=Imagery","2524536")</f>
        <v>2524536</v>
      </c>
      <c r="G733" s="16" t="s">
        <v>3599</v>
      </c>
      <c r="H733" s="17">
        <v>45166</v>
      </c>
      <c r="I733" s="18">
        <v>176000</v>
      </c>
      <c r="J733" s="19">
        <v>0</v>
      </c>
      <c r="L733" s="16" t="s">
        <v>20</v>
      </c>
      <c r="M733" s="16" t="s">
        <v>3600</v>
      </c>
      <c r="N733" s="16" t="s">
        <v>2826</v>
      </c>
    </row>
    <row r="734" spans="1:14" ht="20.100000000000001" customHeight="1" x14ac:dyDescent="0.25">
      <c r="A734" s="15" t="s">
        <v>3601</v>
      </c>
      <c r="B734" s="16" t="s">
        <v>70</v>
      </c>
      <c r="C734" s="15">
        <v>8100504</v>
      </c>
      <c r="D734" s="16" t="s">
        <v>210</v>
      </c>
      <c r="E734" s="15" t="s">
        <v>3602</v>
      </c>
      <c r="F734" s="21" t="str">
        <f>HYPERLINK("https://psearch.kitsapgov.com/webappa/index.html?parcelID=1159623&amp;Theme=Imagery","1159623")</f>
        <v>1159623</v>
      </c>
      <c r="G734" s="16" t="s">
        <v>3603</v>
      </c>
      <c r="H734" s="17">
        <v>45146</v>
      </c>
      <c r="I734" s="18">
        <v>2000</v>
      </c>
      <c r="J734" s="19">
        <v>1.46</v>
      </c>
      <c r="K734" s="16" t="s">
        <v>37</v>
      </c>
      <c r="L734" s="16" t="s">
        <v>631</v>
      </c>
      <c r="M734" s="16" t="s">
        <v>3604</v>
      </c>
      <c r="N734" s="16" t="s">
        <v>907</v>
      </c>
    </row>
    <row r="735" spans="1:14" ht="20.100000000000001" customHeight="1" x14ac:dyDescent="0.25">
      <c r="A735" s="15" t="s">
        <v>3605</v>
      </c>
      <c r="B735" s="16" t="s">
        <v>78</v>
      </c>
      <c r="C735" s="15">
        <v>8401104</v>
      </c>
      <c r="D735" s="16" t="s">
        <v>241</v>
      </c>
      <c r="E735" s="15" t="s">
        <v>3606</v>
      </c>
      <c r="F735" s="21" t="str">
        <f>HYPERLINK("https://psearch.kitsapgov.com/webappa/index.html?parcelID=2239366&amp;Theme=Imagery","2239366")</f>
        <v>2239366</v>
      </c>
      <c r="G735" s="16" t="s">
        <v>3607</v>
      </c>
      <c r="H735" s="17">
        <v>45163</v>
      </c>
      <c r="I735" s="18">
        <v>110000</v>
      </c>
      <c r="J735" s="19">
        <v>6.17</v>
      </c>
      <c r="K735" s="16" t="s">
        <v>37</v>
      </c>
      <c r="L735" s="16" t="s">
        <v>94</v>
      </c>
      <c r="M735" s="16" t="s">
        <v>3608</v>
      </c>
      <c r="N735" s="16" t="s">
        <v>3609</v>
      </c>
    </row>
    <row r="736" spans="1:14" ht="20.100000000000001" customHeight="1" x14ac:dyDescent="0.25">
      <c r="A736" s="15" t="s">
        <v>3610</v>
      </c>
      <c r="B736" s="16" t="s">
        <v>62</v>
      </c>
      <c r="C736" s="15">
        <v>8100504</v>
      </c>
      <c r="D736" s="16" t="s">
        <v>210</v>
      </c>
      <c r="E736" s="15" t="s">
        <v>2921</v>
      </c>
      <c r="F736" s="21" t="str">
        <f>HYPERLINK("https://psearch.kitsapgov.com/webappa/index.html?parcelID=2159564&amp;Theme=Imagery","2159564")</f>
        <v>2159564</v>
      </c>
      <c r="G736" s="16" t="s">
        <v>2922</v>
      </c>
      <c r="H736" s="17">
        <v>45154</v>
      </c>
      <c r="I736" s="18">
        <v>4825</v>
      </c>
      <c r="J736" s="19">
        <v>0.46</v>
      </c>
      <c r="K736" s="16" t="s">
        <v>492</v>
      </c>
      <c r="L736" s="16" t="s">
        <v>631</v>
      </c>
      <c r="M736" s="16" t="s">
        <v>2923</v>
      </c>
      <c r="N736" s="16" t="s">
        <v>907</v>
      </c>
    </row>
    <row r="737" spans="1:14" ht="20.100000000000001" customHeight="1" x14ac:dyDescent="0.25">
      <c r="A737" s="15" t="s">
        <v>3611</v>
      </c>
      <c r="B737" s="16" t="s">
        <v>159</v>
      </c>
      <c r="C737" s="15">
        <v>8100504</v>
      </c>
      <c r="D737" s="16" t="s">
        <v>210</v>
      </c>
      <c r="E737" s="15" t="s">
        <v>2973</v>
      </c>
      <c r="F737" s="21" t="str">
        <f>HYPERLINK("https://psearch.kitsapgov.com/webappa/index.html?parcelID=1673136&amp;Theme=Imagery","1673136")</f>
        <v>1673136</v>
      </c>
      <c r="G737" s="16" t="s">
        <v>2974</v>
      </c>
      <c r="H737" s="17">
        <v>45155</v>
      </c>
      <c r="I737" s="18">
        <v>3200</v>
      </c>
      <c r="J737" s="19">
        <v>0.33</v>
      </c>
      <c r="K737" s="16" t="s">
        <v>492</v>
      </c>
      <c r="L737" s="16" t="s">
        <v>631</v>
      </c>
      <c r="M737" s="16" t="s">
        <v>2975</v>
      </c>
      <c r="N737" s="16" t="s">
        <v>907</v>
      </c>
    </row>
    <row r="738" spans="1:14" ht="20.100000000000001" customHeight="1" x14ac:dyDescent="0.25">
      <c r="A738" s="15" t="s">
        <v>3612</v>
      </c>
      <c r="B738" s="16" t="s">
        <v>78</v>
      </c>
      <c r="C738" s="15">
        <v>8402307</v>
      </c>
      <c r="D738" s="16" t="s">
        <v>131</v>
      </c>
      <c r="E738" s="15" t="s">
        <v>3613</v>
      </c>
      <c r="F738" s="21" t="str">
        <f>HYPERLINK("https://psearch.kitsapgov.com/webappa/index.html?parcelID=1730167&amp;Theme=Imagery","1730167")</f>
        <v>1730167</v>
      </c>
      <c r="G738" s="16" t="s">
        <v>3614</v>
      </c>
      <c r="H738" s="17">
        <v>45167</v>
      </c>
      <c r="I738" s="18">
        <v>585000</v>
      </c>
      <c r="J738" s="19">
        <v>2.29</v>
      </c>
      <c r="K738" s="16" t="s">
        <v>515</v>
      </c>
      <c r="L738" s="16" t="s">
        <v>20</v>
      </c>
      <c r="M738" s="16" t="s">
        <v>3615</v>
      </c>
      <c r="N738" s="16" t="s">
        <v>1793</v>
      </c>
    </row>
    <row r="739" spans="1:14" ht="20.100000000000001" customHeight="1" x14ac:dyDescent="0.25">
      <c r="A739" s="15" t="s">
        <v>3616</v>
      </c>
      <c r="B739" s="16" t="s">
        <v>78</v>
      </c>
      <c r="C739" s="15">
        <v>8400202</v>
      </c>
      <c r="D739" s="16" t="s">
        <v>440</v>
      </c>
      <c r="E739" s="15" t="s">
        <v>3617</v>
      </c>
      <c r="F739" s="21" t="str">
        <f>HYPERLINK("https://psearch.kitsapgov.com/webappa/index.html?parcelID=1340710&amp;Theme=Imagery","1340710")</f>
        <v>1340710</v>
      </c>
      <c r="G739" s="16" t="s">
        <v>3618</v>
      </c>
      <c r="H739" s="17">
        <v>45184</v>
      </c>
      <c r="I739" s="18">
        <v>350000</v>
      </c>
      <c r="J739" s="19">
        <v>0.28000000000000003</v>
      </c>
      <c r="K739" s="16" t="s">
        <v>443</v>
      </c>
      <c r="L739" s="16" t="s">
        <v>20</v>
      </c>
      <c r="M739" s="16" t="s">
        <v>3619</v>
      </c>
      <c r="N739" s="16" t="s">
        <v>3620</v>
      </c>
    </row>
    <row r="740" spans="1:14" ht="20.100000000000001" customHeight="1" x14ac:dyDescent="0.25">
      <c r="A740" s="15" t="s">
        <v>3621</v>
      </c>
      <c r="B740" s="16" t="s">
        <v>78</v>
      </c>
      <c r="C740" s="15">
        <v>8100501</v>
      </c>
      <c r="D740" s="16" t="s">
        <v>63</v>
      </c>
      <c r="E740" s="15" t="s">
        <v>3622</v>
      </c>
      <c r="F740" s="21" t="str">
        <f>HYPERLINK("https://psearch.kitsapgov.com/webappa/index.html?parcelID=1428218&amp;Theme=Imagery","1428218")</f>
        <v>1428218</v>
      </c>
      <c r="G740" s="16" t="s">
        <v>3623</v>
      </c>
      <c r="H740" s="17">
        <v>45187</v>
      </c>
      <c r="I740" s="18">
        <v>299000</v>
      </c>
      <c r="J740" s="19">
        <v>0.21</v>
      </c>
      <c r="K740" s="16" t="s">
        <v>66</v>
      </c>
      <c r="L740" s="16" t="s">
        <v>213</v>
      </c>
      <c r="M740" s="16" t="s">
        <v>3624</v>
      </c>
      <c r="N740" s="16" t="s">
        <v>3625</v>
      </c>
    </row>
    <row r="741" spans="1:14" ht="20.100000000000001" customHeight="1" x14ac:dyDescent="0.25">
      <c r="A741" s="15" t="s">
        <v>3626</v>
      </c>
      <c r="B741" s="16" t="s">
        <v>3627</v>
      </c>
      <c r="C741" s="15">
        <v>9401190</v>
      </c>
      <c r="D741" s="16" t="s">
        <v>330</v>
      </c>
      <c r="E741" s="15" t="s">
        <v>3628</v>
      </c>
      <c r="F741" s="21" t="str">
        <f>HYPERLINK("https://psearch.kitsapgov.com/webappa/index.html?parcelID=1224963&amp;Theme=Imagery","1224963")</f>
        <v>1224963</v>
      </c>
      <c r="G741" s="16" t="s">
        <v>3629</v>
      </c>
      <c r="H741" s="17">
        <v>45190</v>
      </c>
      <c r="I741" s="18">
        <v>145245</v>
      </c>
      <c r="J741" s="19">
        <v>0.89</v>
      </c>
      <c r="K741" s="16" t="s">
        <v>37</v>
      </c>
      <c r="L741" s="16" t="s">
        <v>53</v>
      </c>
      <c r="M741" s="16" t="s">
        <v>3630</v>
      </c>
      <c r="N741" s="16" t="s">
        <v>3631</v>
      </c>
    </row>
    <row r="742" spans="1:14" ht="20.100000000000001" customHeight="1" x14ac:dyDescent="0.25">
      <c r="A742" s="15" t="s">
        <v>3632</v>
      </c>
      <c r="B742" s="16" t="s">
        <v>24</v>
      </c>
      <c r="C742" s="15">
        <v>8402306</v>
      </c>
      <c r="D742" s="16" t="s">
        <v>621</v>
      </c>
      <c r="E742" s="15" t="s">
        <v>3633</v>
      </c>
      <c r="F742" s="21" t="str">
        <f>HYPERLINK("https://psearch.kitsapgov.com/webappa/index.html?parcelID=1738350&amp;Theme=Imagery","1738350")</f>
        <v>1738350</v>
      </c>
      <c r="G742" s="16" t="s">
        <v>3634</v>
      </c>
      <c r="H742" s="17">
        <v>45195</v>
      </c>
      <c r="I742" s="18">
        <v>1650000</v>
      </c>
      <c r="J742" s="19">
        <v>0.55000000000000004</v>
      </c>
      <c r="K742" s="16" t="s">
        <v>276</v>
      </c>
      <c r="L742" s="16" t="s">
        <v>213</v>
      </c>
      <c r="M742" s="16" t="s">
        <v>3635</v>
      </c>
      <c r="N742" s="16" t="s">
        <v>3636</v>
      </c>
    </row>
    <row r="743" spans="1:14" ht="20.100000000000001" customHeight="1" x14ac:dyDescent="0.25">
      <c r="A743" s="15" t="s">
        <v>3637</v>
      </c>
      <c r="B743" s="16" t="s">
        <v>70</v>
      </c>
      <c r="C743" s="15">
        <v>8401104</v>
      </c>
      <c r="D743" s="16" t="s">
        <v>241</v>
      </c>
      <c r="E743" s="15" t="s">
        <v>3638</v>
      </c>
      <c r="F743" s="21" t="str">
        <f>HYPERLINK("https://psearch.kitsapgov.com/webappa/index.html?parcelID=2694966&amp;Theme=Imagery","2694966")</f>
        <v>2694966</v>
      </c>
      <c r="G743" s="16" t="s">
        <v>3639</v>
      </c>
      <c r="H743" s="17">
        <v>45195</v>
      </c>
      <c r="I743" s="18">
        <v>1764000</v>
      </c>
      <c r="J743" s="19">
        <v>0.47</v>
      </c>
      <c r="K743" s="16" t="s">
        <v>492</v>
      </c>
      <c r="L743" s="16" t="s">
        <v>38</v>
      </c>
      <c r="M743" s="16" t="s">
        <v>3640</v>
      </c>
      <c r="N743" s="16" t="s">
        <v>3641</v>
      </c>
    </row>
    <row r="744" spans="1:14" ht="20.100000000000001" customHeight="1" x14ac:dyDescent="0.25">
      <c r="A744" s="15" t="s">
        <v>3642</v>
      </c>
      <c r="B744" s="16" t="s">
        <v>78</v>
      </c>
      <c r="C744" s="15">
        <v>9400207</v>
      </c>
      <c r="D744" s="16" t="s">
        <v>2002</v>
      </c>
      <c r="E744" s="15" t="s">
        <v>3643</v>
      </c>
      <c r="F744" s="21" t="str">
        <f>HYPERLINK("https://psearch.kitsapgov.com/webappa/index.html?parcelID=1629195&amp;Theme=Imagery","1629195")</f>
        <v>1629195</v>
      </c>
      <c r="G744" s="16" t="s">
        <v>897</v>
      </c>
      <c r="H744" s="17">
        <v>45197</v>
      </c>
      <c r="I744" s="18">
        <v>200000</v>
      </c>
      <c r="J744" s="19">
        <v>0.14000000000000001</v>
      </c>
      <c r="K744" s="16" t="s">
        <v>3644</v>
      </c>
      <c r="L744" s="16" t="s">
        <v>38</v>
      </c>
      <c r="M744" s="16" t="s">
        <v>3645</v>
      </c>
      <c r="N744" s="16" t="s">
        <v>3646</v>
      </c>
    </row>
    <row r="745" spans="1:14" ht="20.100000000000001" customHeight="1" x14ac:dyDescent="0.25">
      <c r="A745" s="15" t="s">
        <v>3647</v>
      </c>
      <c r="B745" s="16" t="s">
        <v>1759</v>
      </c>
      <c r="C745" s="15">
        <v>8303601</v>
      </c>
      <c r="D745" s="16" t="s">
        <v>25</v>
      </c>
      <c r="E745" s="15" t="s">
        <v>3648</v>
      </c>
      <c r="F745" s="21" t="str">
        <f>HYPERLINK("https://psearch.kitsapgov.com/webappa/index.html?parcelID=1885250&amp;Theme=Imagery","1885250")</f>
        <v>1885250</v>
      </c>
      <c r="G745" s="16" t="s">
        <v>3649</v>
      </c>
      <c r="H745" s="17">
        <v>45197</v>
      </c>
      <c r="I745" s="18">
        <v>500000</v>
      </c>
      <c r="J745" s="19">
        <v>0</v>
      </c>
      <c r="L745" s="16" t="s">
        <v>20</v>
      </c>
      <c r="M745" s="16" t="s">
        <v>3650</v>
      </c>
      <c r="N745" s="16" t="s">
        <v>3651</v>
      </c>
    </row>
    <row r="746" spans="1:14" ht="20.100000000000001" customHeight="1" x14ac:dyDescent="0.25">
      <c r="A746" s="15" t="s">
        <v>3652</v>
      </c>
      <c r="B746" s="16" t="s">
        <v>105</v>
      </c>
      <c r="C746" s="15">
        <v>8402307</v>
      </c>
      <c r="D746" s="16" t="s">
        <v>131</v>
      </c>
      <c r="E746" s="15" t="s">
        <v>3653</v>
      </c>
      <c r="F746" s="21" t="str">
        <f>HYPERLINK("https://psearch.kitsapgov.com/webappa/index.html?parcelID=1730084&amp;Theme=Imagery","1730084")</f>
        <v>1730084</v>
      </c>
      <c r="G746" s="16" t="s">
        <v>3654</v>
      </c>
      <c r="H746" s="17">
        <v>45190</v>
      </c>
      <c r="I746" s="18">
        <v>1000</v>
      </c>
      <c r="J746" s="19">
        <v>0.56999999999999995</v>
      </c>
      <c r="K746" s="16" t="s">
        <v>515</v>
      </c>
      <c r="L746" s="16" t="s">
        <v>631</v>
      </c>
      <c r="M746" s="16" t="s">
        <v>3655</v>
      </c>
      <c r="N746" s="16" t="s">
        <v>907</v>
      </c>
    </row>
    <row r="747" spans="1:14" ht="20.100000000000001" customHeight="1" x14ac:dyDescent="0.25">
      <c r="A747" s="15" t="s">
        <v>3656</v>
      </c>
      <c r="B747" s="16" t="s">
        <v>159</v>
      </c>
      <c r="C747" s="15">
        <v>8402306</v>
      </c>
      <c r="D747" s="16" t="s">
        <v>621</v>
      </c>
      <c r="E747" s="15" t="s">
        <v>3657</v>
      </c>
      <c r="F747" s="21" t="str">
        <f>HYPERLINK("https://psearch.kitsapgov.com/webappa/index.html?parcelID=1913763&amp;Theme=Imagery","1913763")</f>
        <v>1913763</v>
      </c>
      <c r="G747" s="16" t="s">
        <v>3658</v>
      </c>
      <c r="H747" s="17">
        <v>45197</v>
      </c>
      <c r="I747" s="18">
        <v>350000</v>
      </c>
      <c r="J747" s="19">
        <v>0.06</v>
      </c>
      <c r="K747" s="16" t="s">
        <v>880</v>
      </c>
      <c r="L747" s="16" t="s">
        <v>20</v>
      </c>
      <c r="M747" s="16" t="s">
        <v>3659</v>
      </c>
      <c r="N747" s="16" t="s">
        <v>3660</v>
      </c>
    </row>
    <row r="748" spans="1:14" ht="20.100000000000001" customHeight="1" x14ac:dyDescent="0.25">
      <c r="A748" s="15" t="s">
        <v>3661</v>
      </c>
      <c r="B748" s="16" t="s">
        <v>78</v>
      </c>
      <c r="C748" s="15">
        <v>8401104</v>
      </c>
      <c r="D748" s="16" t="s">
        <v>241</v>
      </c>
      <c r="E748" s="15" t="s">
        <v>3662</v>
      </c>
      <c r="F748" s="21" t="str">
        <f>HYPERLINK("https://psearch.kitsapgov.com/webappa/index.html?parcelID=1225275&amp;Theme=Imagery","1225275")</f>
        <v>1225275</v>
      </c>
      <c r="G748" s="16" t="s">
        <v>3663</v>
      </c>
      <c r="H748" s="17">
        <v>45193</v>
      </c>
      <c r="I748" s="18">
        <v>1245</v>
      </c>
      <c r="J748" s="19">
        <v>2.42</v>
      </c>
      <c r="K748" s="16" t="s">
        <v>37</v>
      </c>
      <c r="L748" s="16" t="s">
        <v>631</v>
      </c>
      <c r="M748" s="16" t="s">
        <v>3664</v>
      </c>
      <c r="N748" s="16" t="s">
        <v>907</v>
      </c>
    </row>
    <row r="749" spans="1:14" ht="20.100000000000001" customHeight="1" x14ac:dyDescent="0.25">
      <c r="A749" s="15" t="s">
        <v>3665</v>
      </c>
      <c r="B749" s="16" t="s">
        <v>185</v>
      </c>
      <c r="C749" s="15">
        <v>9402390</v>
      </c>
      <c r="D749" s="16" t="s">
        <v>173</v>
      </c>
      <c r="E749" s="15" t="s">
        <v>3666</v>
      </c>
      <c r="F749" s="21" t="str">
        <f>HYPERLINK("https://psearch.kitsapgov.com/webappa/index.html?parcelID=1506146&amp;Theme=Imagery","1506146")</f>
        <v>1506146</v>
      </c>
      <c r="G749" s="16" t="s">
        <v>3667</v>
      </c>
      <c r="H749" s="17">
        <v>45201</v>
      </c>
      <c r="I749" s="18">
        <v>862500</v>
      </c>
      <c r="J749" s="19">
        <v>0.44</v>
      </c>
      <c r="K749" s="16" t="s">
        <v>3430</v>
      </c>
      <c r="L749" s="16" t="s">
        <v>20</v>
      </c>
      <c r="M749" s="16" t="s">
        <v>3668</v>
      </c>
      <c r="N749" s="16" t="s">
        <v>3669</v>
      </c>
    </row>
    <row r="750" spans="1:14" ht="20.100000000000001" customHeight="1" x14ac:dyDescent="0.25">
      <c r="A750" s="15" t="s">
        <v>3670</v>
      </c>
      <c r="B750" s="16" t="s">
        <v>78</v>
      </c>
      <c r="C750" s="15">
        <v>9401190</v>
      </c>
      <c r="D750" s="16" t="s">
        <v>330</v>
      </c>
      <c r="E750" s="15" t="s">
        <v>3671</v>
      </c>
      <c r="F750" s="21" t="str">
        <f>HYPERLINK("https://psearch.kitsapgov.com/webappa/index.html?parcelID=1222975&amp;Theme=Imagery","1222975")</f>
        <v>1222975</v>
      </c>
      <c r="G750" s="16" t="s">
        <v>3672</v>
      </c>
      <c r="H750" s="17">
        <v>45195</v>
      </c>
      <c r="I750" s="18">
        <v>3855</v>
      </c>
      <c r="J750" s="19">
        <v>1.79</v>
      </c>
      <c r="K750" s="16" t="s">
        <v>37</v>
      </c>
      <c r="L750" s="16" t="s">
        <v>631</v>
      </c>
      <c r="M750" s="16" t="s">
        <v>3673</v>
      </c>
      <c r="N750" s="16" t="s">
        <v>907</v>
      </c>
    </row>
    <row r="751" spans="1:14" ht="20.100000000000001" customHeight="1" x14ac:dyDescent="0.25">
      <c r="A751" s="15" t="s">
        <v>3674</v>
      </c>
      <c r="B751" s="16" t="s">
        <v>317</v>
      </c>
      <c r="C751" s="15">
        <v>9100541</v>
      </c>
      <c r="D751" s="16" t="s">
        <v>186</v>
      </c>
      <c r="E751" s="15" t="s">
        <v>3675</v>
      </c>
      <c r="F751" s="21" t="str">
        <f>HYPERLINK("https://psearch.kitsapgov.com/webappa/index.html?parcelID=1454917&amp;Theme=Imagery","1454917")</f>
        <v>1454917</v>
      </c>
      <c r="G751" s="16" t="s">
        <v>3676</v>
      </c>
      <c r="H751" s="17">
        <v>45204</v>
      </c>
      <c r="I751" s="18">
        <v>520000</v>
      </c>
      <c r="J751" s="19">
        <v>7.0000000000000007E-2</v>
      </c>
      <c r="K751" s="16" t="s">
        <v>349</v>
      </c>
      <c r="L751" s="16" t="s">
        <v>20</v>
      </c>
      <c r="M751" s="16" t="s">
        <v>3677</v>
      </c>
      <c r="N751" s="16" t="s">
        <v>3678</v>
      </c>
    </row>
    <row r="752" spans="1:14" ht="20.100000000000001" customHeight="1" x14ac:dyDescent="0.25">
      <c r="A752" s="15" t="s">
        <v>3679</v>
      </c>
      <c r="B752" s="16" t="s">
        <v>229</v>
      </c>
      <c r="C752" s="15">
        <v>8100501</v>
      </c>
      <c r="D752" s="16" t="s">
        <v>63</v>
      </c>
      <c r="E752" s="15" t="s">
        <v>3680</v>
      </c>
      <c r="F752" s="21" t="str">
        <f>HYPERLINK("https://psearch.kitsapgov.com/webappa/index.html?parcelID=1427905&amp;Theme=Imagery","1427905")</f>
        <v>1427905</v>
      </c>
      <c r="G752" s="16" t="s">
        <v>3681</v>
      </c>
      <c r="H752" s="17">
        <v>45209</v>
      </c>
      <c r="I752" s="18">
        <v>1050000</v>
      </c>
      <c r="J752" s="19">
        <v>0.14000000000000001</v>
      </c>
      <c r="K752" s="16" t="s">
        <v>93</v>
      </c>
      <c r="L752" s="16" t="s">
        <v>38</v>
      </c>
      <c r="M752" s="16" t="s">
        <v>3682</v>
      </c>
      <c r="N752" s="16" t="s">
        <v>3683</v>
      </c>
    </row>
    <row r="753" spans="1:14" ht="20.100000000000001" customHeight="1" x14ac:dyDescent="0.25">
      <c r="A753" s="15" t="s">
        <v>3684</v>
      </c>
      <c r="B753" s="16" t="s">
        <v>3685</v>
      </c>
      <c r="C753" s="15">
        <v>8400302</v>
      </c>
      <c r="D753" s="16" t="s">
        <v>397</v>
      </c>
      <c r="E753" s="15" t="s">
        <v>3686</v>
      </c>
      <c r="F753" s="21" t="str">
        <f>HYPERLINK("https://psearch.kitsapgov.com/webappa/index.html?parcelID=2327831&amp;Theme=Imagery","2327831")</f>
        <v>2327831</v>
      </c>
      <c r="G753" s="16" t="s">
        <v>3687</v>
      </c>
      <c r="H753" s="17">
        <v>45210</v>
      </c>
      <c r="I753" s="18">
        <v>3500</v>
      </c>
      <c r="J753" s="19">
        <v>0.62</v>
      </c>
      <c r="K753" s="16" t="s">
        <v>679</v>
      </c>
      <c r="L753" s="16" t="s">
        <v>631</v>
      </c>
      <c r="M753" s="16" t="s">
        <v>3688</v>
      </c>
      <c r="N753" s="16" t="s">
        <v>907</v>
      </c>
    </row>
    <row r="754" spans="1:14" ht="20.100000000000001" customHeight="1" x14ac:dyDescent="0.25">
      <c r="A754" s="15" t="s">
        <v>3689</v>
      </c>
      <c r="B754" s="16" t="s">
        <v>78</v>
      </c>
      <c r="C754" s="15">
        <v>9401190</v>
      </c>
      <c r="D754" s="16" t="s">
        <v>330</v>
      </c>
      <c r="E754" s="15" t="s">
        <v>3690</v>
      </c>
      <c r="F754" s="21" t="str">
        <f>HYPERLINK("https://psearch.kitsapgov.com/webappa/index.html?parcelID=1224864&amp;Theme=Imagery","1224864")</f>
        <v>1224864</v>
      </c>
      <c r="G754" s="16" t="s">
        <v>3663</v>
      </c>
      <c r="H754" s="17">
        <v>45209</v>
      </c>
      <c r="I754" s="18">
        <v>1710</v>
      </c>
      <c r="J754" s="19">
        <v>0.23</v>
      </c>
      <c r="K754" s="16" t="s">
        <v>37</v>
      </c>
      <c r="L754" s="16" t="s">
        <v>631</v>
      </c>
      <c r="M754" s="16" t="s">
        <v>3691</v>
      </c>
      <c r="N754" s="16" t="s">
        <v>907</v>
      </c>
    </row>
    <row r="755" spans="1:14" ht="20.100000000000001" customHeight="1" x14ac:dyDescent="0.25">
      <c r="A755" s="15" t="s">
        <v>3692</v>
      </c>
      <c r="B755" s="16" t="s">
        <v>381</v>
      </c>
      <c r="C755" s="15">
        <v>8402405</v>
      </c>
      <c r="D755" s="16" t="s">
        <v>71</v>
      </c>
      <c r="E755" s="15" t="s">
        <v>3693</v>
      </c>
      <c r="F755" s="21" t="str">
        <f>HYPERLINK("https://psearch.kitsapgov.com/webappa/index.html?parcelID=1212240&amp;Theme=Imagery","1212240")</f>
        <v>1212240</v>
      </c>
      <c r="G755" s="16" t="s">
        <v>3694</v>
      </c>
      <c r="H755" s="17">
        <v>45219</v>
      </c>
      <c r="I755" s="18">
        <v>1490000</v>
      </c>
      <c r="J755" s="19">
        <v>1.63</v>
      </c>
      <c r="K755" s="16" t="s">
        <v>82</v>
      </c>
      <c r="L755" s="16" t="s">
        <v>20</v>
      </c>
      <c r="M755" s="16" t="s">
        <v>3695</v>
      </c>
      <c r="N755" s="16" t="s">
        <v>3696</v>
      </c>
    </row>
    <row r="756" spans="1:14" ht="20.100000000000001" customHeight="1" x14ac:dyDescent="0.25">
      <c r="A756" s="15" t="s">
        <v>3697</v>
      </c>
      <c r="B756" s="16" t="s">
        <v>105</v>
      </c>
      <c r="C756" s="15">
        <v>8401508</v>
      </c>
      <c r="D756" s="16" t="s">
        <v>1341</v>
      </c>
      <c r="E756" s="15" t="s">
        <v>3698</v>
      </c>
      <c r="F756" s="21" t="str">
        <f>HYPERLINK("https://psearch.kitsapgov.com/webappa/index.html?parcelID=2478253&amp;Theme=Imagery","2478253")</f>
        <v>2478253</v>
      </c>
      <c r="G756" s="16" t="s">
        <v>3699</v>
      </c>
      <c r="H756" s="17">
        <v>45225</v>
      </c>
      <c r="I756" s="18">
        <v>600000</v>
      </c>
      <c r="J756" s="19">
        <v>10.39</v>
      </c>
      <c r="K756" s="16" t="s">
        <v>37</v>
      </c>
      <c r="L756" s="16" t="s">
        <v>20</v>
      </c>
      <c r="M756" s="16" t="s">
        <v>3700</v>
      </c>
      <c r="N756" s="16" t="s">
        <v>3701</v>
      </c>
    </row>
    <row r="757" spans="1:14" ht="20.100000000000001" customHeight="1" x14ac:dyDescent="0.25">
      <c r="A757" s="15" t="s">
        <v>3702</v>
      </c>
      <c r="B757" s="16" t="s">
        <v>159</v>
      </c>
      <c r="C757" s="15">
        <v>8100502</v>
      </c>
      <c r="D757" s="16" t="s">
        <v>142</v>
      </c>
      <c r="E757" s="15" t="s">
        <v>3261</v>
      </c>
      <c r="F757" s="21" t="str">
        <f>HYPERLINK("https://psearch.kitsapgov.com/webappa/index.html?parcelID=1469907&amp;Theme=Imagery","1469907")</f>
        <v>1469907</v>
      </c>
      <c r="G757" s="16" t="s">
        <v>3262</v>
      </c>
      <c r="H757" s="17">
        <v>45222</v>
      </c>
      <c r="I757" s="18">
        <v>310000</v>
      </c>
      <c r="J757" s="19">
        <v>0.11</v>
      </c>
      <c r="K757" s="16" t="s">
        <v>980</v>
      </c>
      <c r="L757" s="16" t="s">
        <v>20</v>
      </c>
      <c r="M757" s="16" t="s">
        <v>3264</v>
      </c>
      <c r="N757" s="16" t="s">
        <v>3703</v>
      </c>
    </row>
    <row r="758" spans="1:14" ht="20.100000000000001" customHeight="1" x14ac:dyDescent="0.25">
      <c r="A758" s="15" t="s">
        <v>3704</v>
      </c>
      <c r="B758" s="16" t="s">
        <v>1044</v>
      </c>
      <c r="C758" s="15">
        <v>8100505</v>
      </c>
      <c r="D758" s="16" t="s">
        <v>670</v>
      </c>
      <c r="E758" s="15" t="s">
        <v>1692</v>
      </c>
      <c r="F758" s="21" t="str">
        <f>HYPERLINK("https://psearch.kitsapgov.com/webappa/index.html?parcelID=1490358&amp;Theme=Imagery","1490358")</f>
        <v>1490358</v>
      </c>
      <c r="G758" s="16" t="s">
        <v>1693</v>
      </c>
      <c r="H758" s="17">
        <v>45229</v>
      </c>
      <c r="I758" s="18">
        <v>9000000</v>
      </c>
      <c r="J758" s="19">
        <v>1.04</v>
      </c>
      <c r="K758" s="16" t="s">
        <v>673</v>
      </c>
      <c r="L758" s="16" t="s">
        <v>38</v>
      </c>
      <c r="M758" s="16" t="s">
        <v>3705</v>
      </c>
      <c r="N758" s="16" t="s">
        <v>3706</v>
      </c>
    </row>
    <row r="759" spans="1:14" ht="20.100000000000001" customHeight="1" x14ac:dyDescent="0.25">
      <c r="A759" s="15" t="s">
        <v>3707</v>
      </c>
      <c r="B759" s="16" t="s">
        <v>533</v>
      </c>
      <c r="C759" s="15">
        <v>8100501</v>
      </c>
      <c r="D759" s="16" t="s">
        <v>63</v>
      </c>
      <c r="E759" s="15" t="s">
        <v>3708</v>
      </c>
      <c r="F759" s="21" t="str">
        <f>HYPERLINK("https://psearch.kitsapgov.com/webappa/index.html?parcelID=1427996&amp;Theme=Imagery","1427996")</f>
        <v>1427996</v>
      </c>
      <c r="G759" s="16" t="s">
        <v>3709</v>
      </c>
      <c r="H759" s="17">
        <v>45232</v>
      </c>
      <c r="I759" s="18">
        <v>200000</v>
      </c>
      <c r="J759" s="19">
        <v>0.14000000000000001</v>
      </c>
      <c r="K759" s="16" t="s">
        <v>93</v>
      </c>
      <c r="L759" s="16" t="s">
        <v>94</v>
      </c>
      <c r="M759" s="16" t="s">
        <v>3710</v>
      </c>
      <c r="N759" s="16" t="s">
        <v>3156</v>
      </c>
    </row>
    <row r="760" spans="1:14" ht="20.100000000000001" customHeight="1" x14ac:dyDescent="0.25">
      <c r="A760" s="15" t="s">
        <v>3711</v>
      </c>
      <c r="B760" s="16" t="s">
        <v>1948</v>
      </c>
      <c r="C760" s="15">
        <v>8401101</v>
      </c>
      <c r="D760" s="16" t="s">
        <v>305</v>
      </c>
      <c r="E760" s="15" t="s">
        <v>3712</v>
      </c>
      <c r="F760" s="21" t="str">
        <f>HYPERLINK("https://psearch.kitsapgov.com/webappa/index.html?parcelID=2592608&amp;Theme=Imagery","2592608")</f>
        <v>2592608</v>
      </c>
      <c r="G760" s="16" t="s">
        <v>3713</v>
      </c>
      <c r="H760" s="17">
        <v>45230</v>
      </c>
      <c r="I760" s="18">
        <v>71700000</v>
      </c>
      <c r="J760" s="19">
        <v>28.58</v>
      </c>
      <c r="K760" s="16" t="s">
        <v>37</v>
      </c>
      <c r="L760" s="16" t="s">
        <v>920</v>
      </c>
      <c r="M760" s="16" t="s">
        <v>3714</v>
      </c>
      <c r="N760" s="16" t="s">
        <v>3715</v>
      </c>
    </row>
    <row r="761" spans="1:14" ht="20.100000000000001" customHeight="1" x14ac:dyDescent="0.25">
      <c r="A761" s="15" t="s">
        <v>3716</v>
      </c>
      <c r="B761" s="16" t="s">
        <v>285</v>
      </c>
      <c r="C761" s="15">
        <v>8401508</v>
      </c>
      <c r="D761" s="16" t="s">
        <v>1341</v>
      </c>
      <c r="E761" s="15" t="s">
        <v>3717</v>
      </c>
      <c r="F761" s="21" t="str">
        <f>HYPERLINK("https://psearch.kitsapgov.com/webappa/index.html?parcelID=2696607&amp;Theme=Imagery","2696607")</f>
        <v>2696607</v>
      </c>
      <c r="G761" s="16" t="s">
        <v>3019</v>
      </c>
      <c r="H761" s="17">
        <v>45236</v>
      </c>
      <c r="I761" s="18">
        <v>2692307</v>
      </c>
      <c r="J761" s="19">
        <v>0.63</v>
      </c>
      <c r="K761" s="16" t="s">
        <v>37</v>
      </c>
      <c r="L761" s="16" t="s">
        <v>20</v>
      </c>
      <c r="M761" s="16" t="s">
        <v>3718</v>
      </c>
      <c r="N761" s="16" t="s">
        <v>3719</v>
      </c>
    </row>
    <row r="762" spans="1:14" ht="20.100000000000001" customHeight="1" x14ac:dyDescent="0.25">
      <c r="A762" s="15" t="s">
        <v>3720</v>
      </c>
      <c r="B762" s="16" t="s">
        <v>42</v>
      </c>
      <c r="C762" s="15">
        <v>8400202</v>
      </c>
      <c r="D762" s="16" t="s">
        <v>440</v>
      </c>
      <c r="E762" s="15" t="s">
        <v>3721</v>
      </c>
      <c r="F762" s="21" t="str">
        <f>HYPERLINK("https://psearch.kitsapgov.com/webappa/index.html?parcelID=2321289&amp;Theme=Imagery","2321289")</f>
        <v>2321289</v>
      </c>
      <c r="G762" s="16" t="s">
        <v>3722</v>
      </c>
      <c r="H762" s="17">
        <v>45230</v>
      </c>
      <c r="I762" s="18">
        <v>2070000</v>
      </c>
      <c r="J762" s="19">
        <v>0.63</v>
      </c>
      <c r="K762" s="16" t="s">
        <v>443</v>
      </c>
      <c r="L762" s="16" t="s">
        <v>20</v>
      </c>
      <c r="M762" s="16" t="s">
        <v>3723</v>
      </c>
      <c r="N762" s="16" t="s">
        <v>3724</v>
      </c>
    </row>
    <row r="763" spans="1:14" ht="20.100000000000001" customHeight="1" x14ac:dyDescent="0.25">
      <c r="A763" s="15" t="s">
        <v>3725</v>
      </c>
      <c r="B763" s="16" t="s">
        <v>202</v>
      </c>
      <c r="C763" s="15">
        <v>9100541</v>
      </c>
      <c r="D763" s="16" t="s">
        <v>186</v>
      </c>
      <c r="E763" s="15" t="s">
        <v>3726</v>
      </c>
      <c r="F763" s="21" t="str">
        <f>HYPERLINK("https://psearch.kitsapgov.com/webappa/index.html?parcelID=1462779&amp;Theme=Imagery","1462779")</f>
        <v>1462779</v>
      </c>
      <c r="G763" s="16" t="s">
        <v>3727</v>
      </c>
      <c r="H763" s="17">
        <v>45238</v>
      </c>
      <c r="I763" s="18">
        <v>107777</v>
      </c>
      <c r="J763" s="19">
        <v>0.14000000000000001</v>
      </c>
      <c r="K763" s="16" t="s">
        <v>377</v>
      </c>
      <c r="L763" s="16" t="s">
        <v>190</v>
      </c>
      <c r="M763" s="16" t="s">
        <v>3728</v>
      </c>
      <c r="N763" s="16" t="s">
        <v>3631</v>
      </c>
    </row>
    <row r="764" spans="1:14" ht="20.100000000000001" customHeight="1" x14ac:dyDescent="0.25">
      <c r="A764" s="15" t="s">
        <v>3729</v>
      </c>
      <c r="B764" s="16" t="s">
        <v>33</v>
      </c>
      <c r="C764" s="15">
        <v>8400202</v>
      </c>
      <c r="D764" s="16" t="s">
        <v>440</v>
      </c>
      <c r="E764" s="15" t="s">
        <v>3730</v>
      </c>
      <c r="F764" s="21" t="str">
        <f>HYPERLINK("https://psearch.kitsapgov.com/webappa/index.html?parcelID=1340348&amp;Theme=Imagery","1340348")</f>
        <v>1340348</v>
      </c>
      <c r="G764" s="16" t="s">
        <v>3731</v>
      </c>
      <c r="H764" s="17">
        <v>45239</v>
      </c>
      <c r="I764" s="18">
        <v>1500000</v>
      </c>
      <c r="J764" s="19">
        <v>0.81</v>
      </c>
      <c r="K764" s="16" t="s">
        <v>443</v>
      </c>
      <c r="L764" s="16" t="s">
        <v>20</v>
      </c>
      <c r="M764" s="16" t="s">
        <v>3732</v>
      </c>
      <c r="N764" s="16" t="s">
        <v>3733</v>
      </c>
    </row>
    <row r="765" spans="1:14" ht="20.100000000000001" customHeight="1" x14ac:dyDescent="0.25">
      <c r="A765" s="15" t="s">
        <v>3734</v>
      </c>
      <c r="B765" s="16" t="s">
        <v>381</v>
      </c>
      <c r="C765" s="15">
        <v>8400204</v>
      </c>
      <c r="D765" s="16" t="s">
        <v>194</v>
      </c>
      <c r="E765" s="15" t="s">
        <v>3735</v>
      </c>
      <c r="F765" s="21" t="str">
        <f>HYPERLINK("https://psearch.kitsapgov.com/webappa/index.html?parcelID=1234921&amp;Theme=Imagery","1234921")</f>
        <v>1234921</v>
      </c>
      <c r="G765" s="16" t="s">
        <v>3736</v>
      </c>
      <c r="H765" s="17">
        <v>45237</v>
      </c>
      <c r="I765" s="18">
        <v>1150000</v>
      </c>
      <c r="J765" s="19">
        <v>1.1000000000000001</v>
      </c>
      <c r="K765" s="16" t="s">
        <v>82</v>
      </c>
      <c r="L765" s="16" t="s">
        <v>20</v>
      </c>
      <c r="M765" s="16" t="s">
        <v>3737</v>
      </c>
      <c r="N765" s="16" t="s">
        <v>3738</v>
      </c>
    </row>
    <row r="766" spans="1:14" ht="20.100000000000001" customHeight="1" x14ac:dyDescent="0.25">
      <c r="A766" s="15" t="s">
        <v>3739</v>
      </c>
      <c r="B766" s="16" t="s">
        <v>42</v>
      </c>
      <c r="C766" s="15">
        <v>8401102</v>
      </c>
      <c r="D766" s="16" t="s">
        <v>17</v>
      </c>
      <c r="E766" s="15" t="s">
        <v>3740</v>
      </c>
      <c r="F766" s="21" t="str">
        <f>HYPERLINK("https://psearch.kitsapgov.com/webappa/index.html?parcelID=2176329&amp;Theme=Imagery","2176329")</f>
        <v>2176329</v>
      </c>
      <c r="G766" s="16" t="s">
        <v>3741</v>
      </c>
      <c r="H766" s="17">
        <v>45247</v>
      </c>
      <c r="I766" s="18">
        <v>750000</v>
      </c>
      <c r="J766" s="19">
        <v>0.26</v>
      </c>
      <c r="K766" s="16" t="s">
        <v>308</v>
      </c>
      <c r="L766" s="16" t="s">
        <v>20</v>
      </c>
      <c r="M766" s="16" t="s">
        <v>3742</v>
      </c>
      <c r="N766" s="16" t="s">
        <v>3743</v>
      </c>
    </row>
    <row r="767" spans="1:14" ht="20.100000000000001" customHeight="1" x14ac:dyDescent="0.25">
      <c r="A767" s="15" t="s">
        <v>3744</v>
      </c>
      <c r="B767" s="16" t="s">
        <v>105</v>
      </c>
      <c r="C767" s="15">
        <v>8402307</v>
      </c>
      <c r="D767" s="16" t="s">
        <v>131</v>
      </c>
      <c r="E767" s="15" t="s">
        <v>3745</v>
      </c>
      <c r="F767" s="21" t="str">
        <f>HYPERLINK("https://psearch.kitsapgov.com/webappa/index.html?parcelID=1209964&amp;Theme=Imagery","1209964")</f>
        <v>1209964</v>
      </c>
      <c r="G767" s="16" t="s">
        <v>3746</v>
      </c>
      <c r="H767" s="17">
        <v>45250</v>
      </c>
      <c r="I767" s="18">
        <v>145000</v>
      </c>
      <c r="J767" s="19">
        <v>1.17</v>
      </c>
      <c r="K767" s="16" t="s">
        <v>37</v>
      </c>
      <c r="L767" s="16" t="s">
        <v>20</v>
      </c>
      <c r="M767" s="16" t="s">
        <v>3747</v>
      </c>
      <c r="N767" s="16" t="s">
        <v>3748</v>
      </c>
    </row>
    <row r="768" spans="1:14" ht="20.100000000000001" customHeight="1" x14ac:dyDescent="0.25">
      <c r="A768" s="15" t="s">
        <v>3749</v>
      </c>
      <c r="B768" s="16" t="s">
        <v>185</v>
      </c>
      <c r="C768" s="15">
        <v>9402390</v>
      </c>
      <c r="D768" s="16" t="s">
        <v>173</v>
      </c>
      <c r="E768" s="15" t="s">
        <v>3750</v>
      </c>
      <c r="F768" s="21" t="str">
        <f>HYPERLINK("https://psearch.kitsapgov.com/webappa/index.html?parcelID=1039072&amp;Theme=Imagery","1039072")</f>
        <v>1039072</v>
      </c>
      <c r="G768" s="16" t="s">
        <v>3751</v>
      </c>
      <c r="H768" s="17">
        <v>45251</v>
      </c>
      <c r="I768" s="18">
        <v>829900</v>
      </c>
      <c r="J768" s="19">
        <v>0.25</v>
      </c>
      <c r="K768" s="16" t="s">
        <v>647</v>
      </c>
      <c r="L768" s="16" t="s">
        <v>20</v>
      </c>
      <c r="M768" s="16" t="s">
        <v>3752</v>
      </c>
      <c r="N768" s="16" t="s">
        <v>3753</v>
      </c>
    </row>
    <row r="769" spans="1:14" ht="20.100000000000001" customHeight="1" x14ac:dyDescent="0.25">
      <c r="A769" s="15" t="s">
        <v>3754</v>
      </c>
      <c r="B769" s="16" t="s">
        <v>560</v>
      </c>
      <c r="C769" s="15">
        <v>8402405</v>
      </c>
      <c r="D769" s="16" t="s">
        <v>71</v>
      </c>
      <c r="E769" s="15" t="s">
        <v>3755</v>
      </c>
      <c r="F769" s="21" t="str">
        <f>HYPERLINK("https://psearch.kitsapgov.com/webappa/index.html?parcelID=2288850&amp;Theme=Imagery","2288850")</f>
        <v>2288850</v>
      </c>
      <c r="G769" s="16" t="s">
        <v>3756</v>
      </c>
      <c r="H769" s="17">
        <v>45257</v>
      </c>
      <c r="I769" s="18">
        <v>45000</v>
      </c>
      <c r="J769" s="19">
        <v>0</v>
      </c>
      <c r="L769" s="16" t="s">
        <v>944</v>
      </c>
      <c r="M769" s="16" t="s">
        <v>3757</v>
      </c>
      <c r="N769" s="16" t="s">
        <v>3758</v>
      </c>
    </row>
    <row r="770" spans="1:14" ht="20.100000000000001" customHeight="1" x14ac:dyDescent="0.25">
      <c r="A770" s="15" t="s">
        <v>3759</v>
      </c>
      <c r="B770" s="16" t="s">
        <v>3760</v>
      </c>
      <c r="C770" s="15">
        <v>8402405</v>
      </c>
      <c r="D770" s="16" t="s">
        <v>71</v>
      </c>
      <c r="E770" s="15" t="s">
        <v>3761</v>
      </c>
      <c r="F770" s="21" t="str">
        <f>HYPERLINK("https://psearch.kitsapgov.com/webappa/index.html?parcelID=2696573&amp;Theme=Imagery","2696573")</f>
        <v>2696573</v>
      </c>
      <c r="G770" s="16" t="s">
        <v>3762</v>
      </c>
      <c r="H770" s="17">
        <v>45259</v>
      </c>
      <c r="I770" s="18">
        <v>1057381</v>
      </c>
      <c r="J770" s="19">
        <v>12.98</v>
      </c>
      <c r="K770" s="16" t="s">
        <v>3763</v>
      </c>
      <c r="L770" s="16" t="s">
        <v>2587</v>
      </c>
      <c r="M770" s="16" t="s">
        <v>3080</v>
      </c>
      <c r="N770" s="16" t="s">
        <v>3081</v>
      </c>
    </row>
    <row r="771" spans="1:14" ht="20.100000000000001" customHeight="1" x14ac:dyDescent="0.25">
      <c r="A771" s="15" t="s">
        <v>3764</v>
      </c>
      <c r="B771" s="16" t="s">
        <v>834</v>
      </c>
      <c r="C771" s="15">
        <v>8400302</v>
      </c>
      <c r="D771" s="16" t="s">
        <v>397</v>
      </c>
      <c r="E771" s="15" t="s">
        <v>3765</v>
      </c>
      <c r="F771" s="21" t="str">
        <f>HYPERLINK("https://psearch.kitsapgov.com/webappa/index.html?parcelID=2357291&amp;Theme=Imagery","2357291")</f>
        <v>2357291</v>
      </c>
      <c r="G771" s="16" t="s">
        <v>3766</v>
      </c>
      <c r="H771" s="17">
        <v>45254</v>
      </c>
      <c r="I771" s="18">
        <v>770000</v>
      </c>
      <c r="J771" s="19">
        <v>0.7</v>
      </c>
      <c r="K771" s="16" t="s">
        <v>679</v>
      </c>
      <c r="L771" s="16" t="s">
        <v>20</v>
      </c>
      <c r="M771" s="16" t="s">
        <v>3767</v>
      </c>
      <c r="N771" s="16" t="s">
        <v>3768</v>
      </c>
    </row>
    <row r="772" spans="1:14" ht="20.100000000000001" customHeight="1" x14ac:dyDescent="0.25">
      <c r="A772" s="15" t="s">
        <v>3769</v>
      </c>
      <c r="B772" s="16" t="s">
        <v>280</v>
      </c>
      <c r="C772" s="15">
        <v>8401104</v>
      </c>
      <c r="D772" s="16" t="s">
        <v>241</v>
      </c>
      <c r="E772" s="15" t="s">
        <v>3770</v>
      </c>
      <c r="F772" s="21" t="str">
        <f>HYPERLINK("https://psearch.kitsapgov.com/webappa/index.html?parcelID=1222967&amp;Theme=Imagery","1222967")</f>
        <v>1222967</v>
      </c>
      <c r="G772" s="16" t="s">
        <v>3771</v>
      </c>
      <c r="H772" s="17">
        <v>45258</v>
      </c>
      <c r="I772" s="18">
        <v>2695</v>
      </c>
      <c r="J772" s="19">
        <v>0.64</v>
      </c>
      <c r="K772" s="16" t="s">
        <v>37</v>
      </c>
      <c r="L772" s="16" t="s">
        <v>631</v>
      </c>
      <c r="M772" s="16" t="s">
        <v>3772</v>
      </c>
      <c r="N772" s="16" t="s">
        <v>907</v>
      </c>
    </row>
    <row r="773" spans="1:14" ht="20.100000000000001" customHeight="1" x14ac:dyDescent="0.25">
      <c r="A773" s="15" t="s">
        <v>3773</v>
      </c>
      <c r="B773" s="16" t="s">
        <v>70</v>
      </c>
      <c r="C773" s="15">
        <v>8100502</v>
      </c>
      <c r="D773" s="16" t="s">
        <v>142</v>
      </c>
      <c r="E773" s="15" t="s">
        <v>3774</v>
      </c>
      <c r="F773" s="21" t="str">
        <f>HYPERLINK("https://psearch.kitsapgov.com/webappa/index.html?parcelID=1966878&amp;Theme=Imagery","1966878")</f>
        <v>1966878</v>
      </c>
      <c r="G773" s="16" t="s">
        <v>3775</v>
      </c>
      <c r="H773" s="17">
        <v>45264</v>
      </c>
      <c r="I773" s="18">
        <v>800000</v>
      </c>
      <c r="J773" s="19">
        <v>0.43</v>
      </c>
      <c r="K773" s="16" t="s">
        <v>168</v>
      </c>
      <c r="L773" s="16" t="s">
        <v>20</v>
      </c>
      <c r="M773" s="16" t="s">
        <v>3776</v>
      </c>
      <c r="N773" s="16" t="s">
        <v>3777</v>
      </c>
    </row>
    <row r="774" spans="1:14" ht="20.100000000000001" customHeight="1" x14ac:dyDescent="0.25">
      <c r="A774" s="15" t="s">
        <v>3778</v>
      </c>
      <c r="B774" s="16" t="s">
        <v>24</v>
      </c>
      <c r="C774" s="15">
        <v>8401102</v>
      </c>
      <c r="D774" s="16" t="s">
        <v>17</v>
      </c>
      <c r="E774" s="15" t="s">
        <v>3779</v>
      </c>
      <c r="F774" s="21" t="str">
        <f>HYPERLINK("https://psearch.kitsapgov.com/webappa/index.html?parcelID=2564441&amp;Theme=Imagery","2564441")</f>
        <v>2564441</v>
      </c>
      <c r="G774" s="16" t="s">
        <v>3780</v>
      </c>
      <c r="H774" s="17">
        <v>45271</v>
      </c>
      <c r="I774" s="18">
        <v>991583</v>
      </c>
      <c r="J774" s="19">
        <v>0.65</v>
      </c>
      <c r="K774" s="16" t="s">
        <v>308</v>
      </c>
      <c r="L774" s="16" t="s">
        <v>20</v>
      </c>
      <c r="M774" s="16" t="s">
        <v>54</v>
      </c>
      <c r="N774" s="16" t="s">
        <v>3781</v>
      </c>
    </row>
    <row r="775" spans="1:14" ht="20.100000000000001" customHeight="1" x14ac:dyDescent="0.25">
      <c r="A775" s="15" t="s">
        <v>3782</v>
      </c>
      <c r="B775" s="16" t="s">
        <v>98</v>
      </c>
      <c r="C775" s="15">
        <v>8400206</v>
      </c>
      <c r="D775" s="16" t="s">
        <v>99</v>
      </c>
      <c r="E775" s="15" t="s">
        <v>3783</v>
      </c>
      <c r="F775" s="21" t="str">
        <f>HYPERLINK("https://psearch.kitsapgov.com/webappa/index.html?parcelID=2260826&amp;Theme=Imagery","2260826")</f>
        <v>2260826</v>
      </c>
      <c r="G775" s="16" t="s">
        <v>1283</v>
      </c>
      <c r="H775" s="17">
        <v>45271</v>
      </c>
      <c r="I775" s="18">
        <v>100000</v>
      </c>
      <c r="J775" s="19">
        <v>0</v>
      </c>
      <c r="L775" s="16" t="s">
        <v>20</v>
      </c>
      <c r="M775" s="16" t="s">
        <v>785</v>
      </c>
      <c r="N775" s="16" t="s">
        <v>3359</v>
      </c>
    </row>
    <row r="776" spans="1:14" ht="20.100000000000001" customHeight="1" x14ac:dyDescent="0.25">
      <c r="A776" s="15" t="s">
        <v>3784</v>
      </c>
      <c r="B776" s="16" t="s">
        <v>202</v>
      </c>
      <c r="C776" s="15">
        <v>8401104</v>
      </c>
      <c r="D776" s="16" t="s">
        <v>241</v>
      </c>
      <c r="E776" s="15" t="s">
        <v>3785</v>
      </c>
      <c r="F776" s="21" t="str">
        <f>HYPERLINK("https://psearch.kitsapgov.com/webappa/index.html?parcelID=1222926&amp;Theme=Imagery","1222926")</f>
        <v>1222926</v>
      </c>
      <c r="G776" s="16" t="s">
        <v>3786</v>
      </c>
      <c r="H776" s="17">
        <v>45209</v>
      </c>
      <c r="I776" s="18">
        <v>1500</v>
      </c>
      <c r="J776" s="19">
        <v>4.3099999999999996</v>
      </c>
      <c r="K776" s="16" t="s">
        <v>37</v>
      </c>
      <c r="L776" s="16" t="s">
        <v>631</v>
      </c>
      <c r="M776" s="16" t="s">
        <v>3787</v>
      </c>
      <c r="N776" s="16" t="s">
        <v>907</v>
      </c>
    </row>
    <row r="777" spans="1:14" ht="20.100000000000001" customHeight="1" x14ac:dyDescent="0.25">
      <c r="A777" s="15" t="s">
        <v>3788</v>
      </c>
      <c r="B777" s="16" t="s">
        <v>105</v>
      </c>
      <c r="C777" s="15">
        <v>8402305</v>
      </c>
      <c r="D777" s="16" t="s">
        <v>452</v>
      </c>
      <c r="E777" s="15" t="s">
        <v>3789</v>
      </c>
      <c r="F777" s="21" t="str">
        <f>HYPERLINK("https://psearch.kitsapgov.com/webappa/index.html?parcelID=2453413&amp;Theme=Imagery","2453413")</f>
        <v>2453413</v>
      </c>
      <c r="G777" s="16" t="s">
        <v>3790</v>
      </c>
      <c r="H777" s="17">
        <v>45272</v>
      </c>
      <c r="I777" s="18">
        <v>342000</v>
      </c>
      <c r="J777" s="19">
        <v>1.26</v>
      </c>
      <c r="K777" s="16" t="s">
        <v>455</v>
      </c>
      <c r="L777" s="16" t="s">
        <v>20</v>
      </c>
      <c r="M777" s="16" t="s">
        <v>3791</v>
      </c>
      <c r="N777" s="16" t="s">
        <v>3792</v>
      </c>
    </row>
    <row r="778" spans="1:14" ht="20.100000000000001" customHeight="1" x14ac:dyDescent="0.25">
      <c r="A778" s="15" t="s">
        <v>3793</v>
      </c>
      <c r="B778" s="16" t="s">
        <v>24</v>
      </c>
      <c r="C778" s="15">
        <v>8400201</v>
      </c>
      <c r="D778" s="16" t="s">
        <v>496</v>
      </c>
      <c r="E778" s="15" t="s">
        <v>3794</v>
      </c>
      <c r="F778" s="21" t="str">
        <f>HYPERLINK("https://psearch.kitsapgov.com/webappa/index.html?parcelID=1551050&amp;Theme=Imagery","1551050")</f>
        <v>1551050</v>
      </c>
      <c r="G778" s="16" t="s">
        <v>3795</v>
      </c>
      <c r="H778" s="17">
        <v>45272</v>
      </c>
      <c r="I778" s="18">
        <v>800000</v>
      </c>
      <c r="J778" s="19">
        <v>0.18</v>
      </c>
      <c r="K778" s="16" t="s">
        <v>499</v>
      </c>
      <c r="L778" s="16" t="s">
        <v>20</v>
      </c>
      <c r="M778" s="16" t="s">
        <v>3796</v>
      </c>
      <c r="N778" s="16" t="s">
        <v>3797</v>
      </c>
    </row>
    <row r="779" spans="1:14" ht="20.100000000000001" customHeight="1" x14ac:dyDescent="0.25">
      <c r="A779" s="15" t="s">
        <v>3798</v>
      </c>
      <c r="B779" s="16" t="s">
        <v>153</v>
      </c>
      <c r="C779" s="15">
        <v>8100510</v>
      </c>
      <c r="D779" s="16" t="s">
        <v>106</v>
      </c>
      <c r="E779" s="15" t="s">
        <v>3799</v>
      </c>
      <c r="F779" s="21" t="str">
        <f>HYPERLINK("https://psearch.kitsapgov.com/webappa/index.html?parcelID=1438399&amp;Theme=Imagery","1438399")</f>
        <v>1438399</v>
      </c>
      <c r="G779" s="16" t="s">
        <v>3800</v>
      </c>
      <c r="H779" s="17">
        <v>45250</v>
      </c>
      <c r="I779" s="18">
        <v>445000</v>
      </c>
      <c r="J779" s="19">
        <v>0.57999999999999996</v>
      </c>
      <c r="K779" s="16" t="s">
        <v>109</v>
      </c>
      <c r="L779" s="16" t="s">
        <v>38</v>
      </c>
      <c r="M779" s="16" t="s">
        <v>156</v>
      </c>
      <c r="N779" s="16" t="s">
        <v>3801</v>
      </c>
    </row>
    <row r="780" spans="1:14" ht="20.100000000000001" customHeight="1" x14ac:dyDescent="0.25">
      <c r="A780" s="15" t="s">
        <v>3802</v>
      </c>
      <c r="B780" s="16" t="s">
        <v>70</v>
      </c>
      <c r="C780" s="15">
        <v>8401104</v>
      </c>
      <c r="D780" s="16" t="s">
        <v>241</v>
      </c>
      <c r="E780" s="15" t="s">
        <v>3803</v>
      </c>
      <c r="F780" s="21" t="str">
        <f>HYPERLINK("https://psearch.kitsapgov.com/webappa/index.html?parcelID=2320869&amp;Theme=Imagery","2320869")</f>
        <v>2320869</v>
      </c>
      <c r="G780" s="16" t="s">
        <v>3804</v>
      </c>
      <c r="H780" s="17">
        <v>45278</v>
      </c>
      <c r="I780" s="18">
        <v>1050000</v>
      </c>
      <c r="J780" s="19">
        <v>1.1100000000000001</v>
      </c>
      <c r="K780" s="16" t="s">
        <v>492</v>
      </c>
      <c r="L780" s="16" t="s">
        <v>20</v>
      </c>
      <c r="M780" s="16" t="s">
        <v>3805</v>
      </c>
      <c r="N780" s="16" t="s">
        <v>3806</v>
      </c>
    </row>
    <row r="781" spans="1:14" ht="20.100000000000001" customHeight="1" x14ac:dyDescent="0.25">
      <c r="A781" s="15" t="s">
        <v>3807</v>
      </c>
      <c r="B781" s="16" t="s">
        <v>105</v>
      </c>
      <c r="C781" s="15">
        <v>8401101</v>
      </c>
      <c r="D781" s="16" t="s">
        <v>305</v>
      </c>
      <c r="E781" s="15" t="s">
        <v>3808</v>
      </c>
      <c r="F781" s="21" t="str">
        <f>HYPERLINK("https://psearch.kitsapgov.com/webappa/index.html?parcelID=2189256&amp;Theme=Imagery","2189256")</f>
        <v>2189256</v>
      </c>
      <c r="G781" s="16" t="s">
        <v>3809</v>
      </c>
      <c r="H781" s="17">
        <v>45279</v>
      </c>
      <c r="I781" s="18">
        <v>80000</v>
      </c>
      <c r="J781" s="19">
        <v>0.37</v>
      </c>
      <c r="K781" s="16" t="s">
        <v>308</v>
      </c>
      <c r="L781" s="16" t="s">
        <v>38</v>
      </c>
      <c r="M781" s="16" t="s">
        <v>3810</v>
      </c>
      <c r="N781" s="16" t="s">
        <v>3811</v>
      </c>
    </row>
    <row r="782" spans="1:14" ht="20.100000000000001" customHeight="1" x14ac:dyDescent="0.25">
      <c r="A782" s="15" t="s">
        <v>3812</v>
      </c>
      <c r="B782" s="16" t="s">
        <v>185</v>
      </c>
      <c r="C782" s="15">
        <v>8401104</v>
      </c>
      <c r="D782" s="16" t="s">
        <v>241</v>
      </c>
      <c r="E782" s="15" t="s">
        <v>1978</v>
      </c>
      <c r="F782" s="21" t="str">
        <f>HYPERLINK("https://psearch.kitsapgov.com/webappa/index.html?parcelID=1924091&amp;Theme=Imagery","1924091")</f>
        <v>1924091</v>
      </c>
      <c r="G782" s="16" t="s">
        <v>508</v>
      </c>
      <c r="H782" s="17">
        <v>45279</v>
      </c>
      <c r="I782" s="18">
        <v>640500</v>
      </c>
      <c r="J782" s="19">
        <v>0.08</v>
      </c>
      <c r="K782" s="16" t="s">
        <v>82</v>
      </c>
      <c r="L782" s="16" t="s">
        <v>20</v>
      </c>
      <c r="M782" s="16" t="s">
        <v>3813</v>
      </c>
      <c r="N782" s="16" t="s">
        <v>3814</v>
      </c>
    </row>
    <row r="783" spans="1:14" ht="20.100000000000001" customHeight="1" x14ac:dyDescent="0.25">
      <c r="A783" s="15" t="s">
        <v>3815</v>
      </c>
      <c r="B783" s="16" t="s">
        <v>105</v>
      </c>
      <c r="C783" s="15">
        <v>8401104</v>
      </c>
      <c r="D783" s="16" t="s">
        <v>241</v>
      </c>
      <c r="E783" s="15" t="s">
        <v>3816</v>
      </c>
      <c r="F783" s="21" t="str">
        <f>HYPERLINK("https://psearch.kitsapgov.com/webappa/index.html?parcelID=1225127&amp;Theme=Imagery","1225127")</f>
        <v>1225127</v>
      </c>
      <c r="G783" s="16" t="s">
        <v>3817</v>
      </c>
      <c r="H783" s="17">
        <v>45268</v>
      </c>
      <c r="I783" s="18">
        <v>7661</v>
      </c>
      <c r="J783" s="19">
        <v>2.08</v>
      </c>
      <c r="K783" s="16" t="s">
        <v>37</v>
      </c>
      <c r="L783" s="16" t="s">
        <v>631</v>
      </c>
      <c r="M783" s="16" t="s">
        <v>3818</v>
      </c>
      <c r="N783" s="16" t="s">
        <v>907</v>
      </c>
    </row>
    <row r="784" spans="1:14" ht="20.100000000000001" customHeight="1" x14ac:dyDescent="0.25">
      <c r="A784" s="15" t="s">
        <v>3819</v>
      </c>
      <c r="B784" s="16" t="s">
        <v>24</v>
      </c>
      <c r="C784" s="15">
        <v>8400301</v>
      </c>
      <c r="D784" s="16" t="s">
        <v>1850</v>
      </c>
      <c r="E784" s="15" t="s">
        <v>3820</v>
      </c>
      <c r="F784" s="21" t="str">
        <f>HYPERLINK("https://psearch.kitsapgov.com/webappa/index.html?parcelID=2539260&amp;Theme=Imagery","2539260")</f>
        <v>2539260</v>
      </c>
      <c r="G784" s="16" t="s">
        <v>3821</v>
      </c>
      <c r="H784" s="17">
        <v>45197</v>
      </c>
      <c r="I784" s="18">
        <v>1505</v>
      </c>
      <c r="J784" s="19">
        <v>0.41</v>
      </c>
      <c r="K784" s="16" t="s">
        <v>37</v>
      </c>
      <c r="L784" s="16" t="s">
        <v>631</v>
      </c>
      <c r="M784" s="16" t="s">
        <v>3822</v>
      </c>
      <c r="N784" s="16" t="s">
        <v>907</v>
      </c>
    </row>
    <row r="785" spans="1:14" ht="20.100000000000001" customHeight="1" x14ac:dyDescent="0.25">
      <c r="A785" s="15" t="s">
        <v>3823</v>
      </c>
      <c r="B785" s="16" t="s">
        <v>70</v>
      </c>
      <c r="C785" s="15">
        <v>8100506</v>
      </c>
      <c r="D785" s="16" t="s">
        <v>286</v>
      </c>
      <c r="E785" s="15" t="s">
        <v>3824</v>
      </c>
      <c r="F785" s="21" t="str">
        <f>HYPERLINK("https://psearch.kitsapgov.com/webappa/index.html?parcelID=2504397&amp;Theme=Imagery","2504397")</f>
        <v>2504397</v>
      </c>
      <c r="G785" s="16" t="s">
        <v>3825</v>
      </c>
      <c r="H785" s="17">
        <v>45289</v>
      </c>
      <c r="I785" s="18">
        <v>68135</v>
      </c>
      <c r="J785" s="19">
        <v>0.3</v>
      </c>
      <c r="K785" s="16" t="s">
        <v>109</v>
      </c>
      <c r="L785" s="16" t="s">
        <v>94</v>
      </c>
      <c r="M785" s="16" t="s">
        <v>3826</v>
      </c>
      <c r="N785" s="16" t="s">
        <v>3827</v>
      </c>
    </row>
    <row r="786" spans="1:14" ht="20.100000000000001" customHeight="1" x14ac:dyDescent="0.25">
      <c r="A786" s="15" t="s">
        <v>3828</v>
      </c>
      <c r="B786" s="16" t="s">
        <v>159</v>
      </c>
      <c r="C786" s="15">
        <v>8100506</v>
      </c>
      <c r="D786" s="16" t="s">
        <v>286</v>
      </c>
      <c r="E786" s="15" t="s">
        <v>3829</v>
      </c>
      <c r="F786" s="21" t="str">
        <f>HYPERLINK("https://psearch.kitsapgov.com/webappa/index.html?parcelID=2504389&amp;Theme=Imagery","2504389")</f>
        <v>2504389</v>
      </c>
      <c r="G786" s="16" t="s">
        <v>3830</v>
      </c>
      <c r="H786" s="17">
        <v>45289</v>
      </c>
      <c r="I786" s="18">
        <v>173978</v>
      </c>
      <c r="J786" s="19">
        <v>0.65</v>
      </c>
      <c r="K786" s="16" t="s">
        <v>109</v>
      </c>
      <c r="L786" s="16" t="s">
        <v>94</v>
      </c>
      <c r="M786" s="16" t="s">
        <v>3826</v>
      </c>
      <c r="N786" s="16" t="s">
        <v>3827</v>
      </c>
    </row>
    <row r="787" spans="1:14" ht="20.100000000000001" customHeight="1" x14ac:dyDescent="0.25">
      <c r="A787" s="15" t="s">
        <v>3831</v>
      </c>
      <c r="B787" s="16" t="s">
        <v>159</v>
      </c>
      <c r="C787" s="15">
        <v>8402307</v>
      </c>
      <c r="D787" s="16" t="s">
        <v>131</v>
      </c>
      <c r="E787" s="15" t="s">
        <v>3832</v>
      </c>
      <c r="F787" s="21" t="str">
        <f>HYPERLINK("https://psearch.kitsapgov.com/webappa/index.html?parcelID=2058287&amp;Theme=Imagery","2058287")</f>
        <v>2058287</v>
      </c>
      <c r="G787" s="16" t="s">
        <v>3833</v>
      </c>
      <c r="H787" s="17">
        <v>45289</v>
      </c>
      <c r="I787" s="18">
        <v>83202</v>
      </c>
      <c r="J787" s="19">
        <v>0.4</v>
      </c>
      <c r="K787" s="16" t="s">
        <v>880</v>
      </c>
      <c r="L787" s="16" t="s">
        <v>94</v>
      </c>
      <c r="M787" s="16" t="s">
        <v>3826</v>
      </c>
      <c r="N787" s="16" t="s">
        <v>3827</v>
      </c>
    </row>
    <row r="788" spans="1:14" ht="20.100000000000001" customHeight="1" x14ac:dyDescent="0.25">
      <c r="A788" s="15" t="s">
        <v>3834</v>
      </c>
      <c r="B788" s="16" t="s">
        <v>78</v>
      </c>
      <c r="C788" s="15">
        <v>9400207</v>
      </c>
      <c r="D788" s="16" t="s">
        <v>2002</v>
      </c>
      <c r="E788" s="15" t="s">
        <v>3835</v>
      </c>
      <c r="F788" s="21" t="str">
        <f>HYPERLINK("https://psearch.kitsapgov.com/webappa/index.html?parcelID=1364421&amp;Theme=Imagery","1364421")</f>
        <v>1364421</v>
      </c>
      <c r="G788" s="16" t="s">
        <v>3836</v>
      </c>
      <c r="H788" s="17">
        <v>45289</v>
      </c>
      <c r="I788" s="18">
        <v>1100000</v>
      </c>
      <c r="J788" s="19">
        <v>2.2799999999999998</v>
      </c>
      <c r="K788" s="16" t="s">
        <v>205</v>
      </c>
      <c r="L788" s="16" t="s">
        <v>20</v>
      </c>
      <c r="M788" s="16" t="s">
        <v>3837</v>
      </c>
      <c r="N788" s="16" t="s">
        <v>3838</v>
      </c>
    </row>
    <row r="789" spans="1:14" ht="20.100000000000001" customHeight="1" x14ac:dyDescent="0.25">
      <c r="A789" s="15" t="s">
        <v>3839</v>
      </c>
      <c r="B789" s="16" t="s">
        <v>1244</v>
      </c>
      <c r="C789" s="15">
        <v>9402403</v>
      </c>
      <c r="D789" s="16" t="s">
        <v>3352</v>
      </c>
      <c r="E789" s="15" t="s">
        <v>3840</v>
      </c>
      <c r="F789" s="21" t="str">
        <f>HYPERLINK("https://psearch.kitsapgov.com/webappa/index.html?parcelID=1772870&amp;Theme=Imagery","1772870")</f>
        <v>1772870</v>
      </c>
      <c r="G789" s="16" t="s">
        <v>3841</v>
      </c>
      <c r="H789" s="17">
        <v>45296</v>
      </c>
      <c r="I789" s="18">
        <v>575000</v>
      </c>
      <c r="J789" s="19">
        <v>0.37</v>
      </c>
      <c r="K789" s="16" t="s">
        <v>82</v>
      </c>
      <c r="L789" s="16" t="s">
        <v>20</v>
      </c>
      <c r="M789" s="16" t="s">
        <v>3842</v>
      </c>
      <c r="N789" s="16" t="s">
        <v>3843</v>
      </c>
    </row>
    <row r="790" spans="1:14" ht="20.100000000000001" customHeight="1" x14ac:dyDescent="0.25">
      <c r="A790" s="15" t="s">
        <v>3844</v>
      </c>
      <c r="B790" s="16" t="s">
        <v>98</v>
      </c>
      <c r="C790" s="15">
        <v>8303660</v>
      </c>
      <c r="D790" s="16" t="s">
        <v>252</v>
      </c>
      <c r="E790" s="15" t="s">
        <v>3845</v>
      </c>
      <c r="F790" s="21" t="str">
        <f>HYPERLINK("https://psearch.kitsapgov.com/webappa/index.html?parcelID=1882455&amp;Theme=Imagery","1882455")</f>
        <v>1882455</v>
      </c>
      <c r="G790" s="16" t="s">
        <v>3846</v>
      </c>
      <c r="H790" s="17">
        <v>45293</v>
      </c>
      <c r="I790" s="18">
        <v>200000</v>
      </c>
      <c r="J790" s="19">
        <v>0</v>
      </c>
      <c r="L790" s="16" t="s">
        <v>20</v>
      </c>
      <c r="M790" s="16" t="s">
        <v>3847</v>
      </c>
      <c r="N790" s="16" t="s">
        <v>3848</v>
      </c>
    </row>
    <row r="791" spans="1:14" ht="20.100000000000001" customHeight="1" x14ac:dyDescent="0.25">
      <c r="A791" s="15" t="s">
        <v>3849</v>
      </c>
      <c r="B791" s="16" t="s">
        <v>1759</v>
      </c>
      <c r="C791" s="15">
        <v>8401102</v>
      </c>
      <c r="D791" s="16" t="s">
        <v>17</v>
      </c>
      <c r="E791" s="15" t="s">
        <v>3850</v>
      </c>
      <c r="F791" s="21" t="str">
        <f>HYPERLINK("https://psearch.kitsapgov.com/webappa/index.html?parcelID=1886696&amp;Theme=Imagery","1886696")</f>
        <v>1886696</v>
      </c>
      <c r="G791" s="16" t="s">
        <v>3851</v>
      </c>
      <c r="H791" s="17">
        <v>45293</v>
      </c>
      <c r="I791" s="18">
        <v>320000</v>
      </c>
      <c r="J791" s="19">
        <v>0</v>
      </c>
      <c r="K791" s="16" t="s">
        <v>308</v>
      </c>
      <c r="L791" s="16" t="s">
        <v>38</v>
      </c>
      <c r="M791" s="16" t="s">
        <v>3852</v>
      </c>
      <c r="N791" s="16" t="s">
        <v>3853</v>
      </c>
    </row>
    <row r="792" spans="1:14" ht="20.100000000000001" customHeight="1" x14ac:dyDescent="0.25">
      <c r="A792" s="15" t="s">
        <v>3854</v>
      </c>
      <c r="B792" s="16" t="s">
        <v>560</v>
      </c>
      <c r="C792" s="15">
        <v>8402405</v>
      </c>
      <c r="D792" s="16" t="s">
        <v>71</v>
      </c>
      <c r="E792" s="15" t="s">
        <v>2655</v>
      </c>
      <c r="F792" s="21" t="str">
        <f>HYPERLINK("https://psearch.kitsapgov.com/webappa/index.html?parcelID=2288868&amp;Theme=Imagery","2288868")</f>
        <v>2288868</v>
      </c>
      <c r="G792" s="16" t="s">
        <v>2656</v>
      </c>
      <c r="H792" s="17">
        <v>45301</v>
      </c>
      <c r="I792" s="18">
        <v>80000</v>
      </c>
      <c r="J792" s="19">
        <v>0</v>
      </c>
      <c r="L792" s="16" t="s">
        <v>944</v>
      </c>
      <c r="M792" s="16" t="s">
        <v>3855</v>
      </c>
      <c r="N792" s="16" t="s">
        <v>3856</v>
      </c>
    </row>
    <row r="793" spans="1:14" ht="20.100000000000001" customHeight="1" x14ac:dyDescent="0.25">
      <c r="A793" s="15" t="s">
        <v>3857</v>
      </c>
      <c r="B793" s="16" t="s">
        <v>560</v>
      </c>
      <c r="C793" s="15">
        <v>8402405</v>
      </c>
      <c r="D793" s="16" t="s">
        <v>71</v>
      </c>
      <c r="E793" s="15" t="s">
        <v>3858</v>
      </c>
      <c r="F793" s="21" t="str">
        <f>HYPERLINK("https://psearch.kitsapgov.com/webappa/index.html?parcelID=2413896&amp;Theme=Imagery","2413896")</f>
        <v>2413896</v>
      </c>
      <c r="G793" s="16" t="s">
        <v>3859</v>
      </c>
      <c r="H793" s="17">
        <v>45303</v>
      </c>
      <c r="I793" s="18">
        <v>75000</v>
      </c>
      <c r="J793" s="19">
        <v>0</v>
      </c>
      <c r="L793" s="16" t="s">
        <v>944</v>
      </c>
      <c r="M793" s="16" t="s">
        <v>3860</v>
      </c>
      <c r="N793" s="16" t="s">
        <v>2880</v>
      </c>
    </row>
    <row r="794" spans="1:14" ht="20.100000000000001" customHeight="1" x14ac:dyDescent="0.25">
      <c r="A794" s="15" t="s">
        <v>3861</v>
      </c>
      <c r="B794" s="16" t="s">
        <v>98</v>
      </c>
      <c r="C794" s="15">
        <v>8303660</v>
      </c>
      <c r="D794" s="16" t="s">
        <v>252</v>
      </c>
      <c r="E794" s="15" t="s">
        <v>3862</v>
      </c>
      <c r="F794" s="21" t="str">
        <f>HYPERLINK("https://psearch.kitsapgov.com/webappa/index.html?parcelID=1883206&amp;Theme=Imagery","1883206")</f>
        <v>1883206</v>
      </c>
      <c r="G794" s="16" t="s">
        <v>3863</v>
      </c>
      <c r="H794" s="17">
        <v>45308</v>
      </c>
      <c r="I794" s="18">
        <v>210000</v>
      </c>
      <c r="J794" s="19">
        <v>0</v>
      </c>
      <c r="L794" s="16" t="s">
        <v>20</v>
      </c>
      <c r="M794" s="16" t="s">
        <v>3864</v>
      </c>
      <c r="N794" s="16" t="s">
        <v>3865</v>
      </c>
    </row>
    <row r="795" spans="1:14" ht="20.100000000000001" customHeight="1" x14ac:dyDescent="0.25">
      <c r="A795" s="15" t="s">
        <v>3866</v>
      </c>
      <c r="B795" s="16" t="s">
        <v>3627</v>
      </c>
      <c r="C795" s="15">
        <v>9401190</v>
      </c>
      <c r="D795" s="16" t="s">
        <v>330</v>
      </c>
      <c r="E795" s="15" t="s">
        <v>3628</v>
      </c>
      <c r="F795" s="21" t="str">
        <f>HYPERLINK("https://psearch.kitsapgov.com/webappa/index.html?parcelID=1224963&amp;Theme=Imagery","1224963")</f>
        <v>1224963</v>
      </c>
      <c r="G795" s="16" t="s">
        <v>3629</v>
      </c>
      <c r="H795" s="17">
        <v>45309</v>
      </c>
      <c r="I795" s="18">
        <v>316777</v>
      </c>
      <c r="J795" s="19">
        <v>0.89</v>
      </c>
      <c r="K795" s="16" t="s">
        <v>37</v>
      </c>
      <c r="L795" s="16" t="s">
        <v>20</v>
      </c>
      <c r="M795" s="16" t="s">
        <v>3631</v>
      </c>
      <c r="N795" s="16" t="s">
        <v>3867</v>
      </c>
    </row>
    <row r="796" spans="1:14" ht="20.100000000000001" customHeight="1" x14ac:dyDescent="0.25">
      <c r="A796" s="15" t="s">
        <v>3868</v>
      </c>
      <c r="B796" s="16" t="s">
        <v>78</v>
      </c>
      <c r="C796" s="15">
        <v>9100541</v>
      </c>
      <c r="D796" s="16" t="s">
        <v>186</v>
      </c>
      <c r="E796" s="15" t="s">
        <v>3869</v>
      </c>
      <c r="F796" s="21" t="str">
        <f>HYPERLINK("https://psearch.kitsapgov.com/webappa/index.html?parcelID=1467133&amp;Theme=Imagery","1467133")</f>
        <v>1467133</v>
      </c>
      <c r="G796" s="16" t="s">
        <v>3291</v>
      </c>
      <c r="H796" s="17">
        <v>45314</v>
      </c>
      <c r="I796" s="18">
        <v>349000</v>
      </c>
      <c r="J796" s="19">
        <v>0.09</v>
      </c>
      <c r="K796" s="16" t="s">
        <v>109</v>
      </c>
      <c r="L796" s="16" t="s">
        <v>20</v>
      </c>
      <c r="M796" s="16" t="s">
        <v>3870</v>
      </c>
      <c r="N796" s="16" t="s">
        <v>3871</v>
      </c>
    </row>
    <row r="797" spans="1:14" ht="20.100000000000001" customHeight="1" x14ac:dyDescent="0.25">
      <c r="A797" s="15" t="s">
        <v>3872</v>
      </c>
      <c r="B797" s="16" t="s">
        <v>834</v>
      </c>
      <c r="C797" s="15">
        <v>9402403</v>
      </c>
      <c r="D797" s="16" t="s">
        <v>3352</v>
      </c>
      <c r="E797" s="15" t="s">
        <v>3873</v>
      </c>
      <c r="F797" s="21" t="str">
        <f>HYPERLINK("https://psearch.kitsapgov.com/webappa/index.html?parcelID=1680537&amp;Theme=Imagery","1680537")</f>
        <v>1680537</v>
      </c>
      <c r="G797" s="16" t="s">
        <v>3874</v>
      </c>
      <c r="H797" s="17">
        <v>45321</v>
      </c>
      <c r="I797" s="18">
        <v>1025000</v>
      </c>
      <c r="J797" s="19">
        <v>0.93</v>
      </c>
      <c r="K797" s="16" t="s">
        <v>3875</v>
      </c>
      <c r="L797" s="16" t="s">
        <v>38</v>
      </c>
      <c r="M797" s="16" t="s">
        <v>3876</v>
      </c>
      <c r="N797" s="16" t="s">
        <v>3877</v>
      </c>
    </row>
    <row r="798" spans="1:14" ht="20.100000000000001" customHeight="1" x14ac:dyDescent="0.25">
      <c r="A798" s="15" t="s">
        <v>3878</v>
      </c>
      <c r="B798" s="16" t="s">
        <v>24</v>
      </c>
      <c r="C798" s="15">
        <v>8401102</v>
      </c>
      <c r="D798" s="16" t="s">
        <v>17</v>
      </c>
      <c r="E798" s="15" t="s">
        <v>3879</v>
      </c>
      <c r="F798" s="21" t="str">
        <f>HYPERLINK("https://psearch.kitsapgov.com/webappa/index.html?parcelID=1246263&amp;Theme=Imagery","1246263")</f>
        <v>1246263</v>
      </c>
      <c r="G798" s="16" t="s">
        <v>3880</v>
      </c>
      <c r="H798" s="17">
        <v>45320</v>
      </c>
      <c r="I798" s="18">
        <v>600000</v>
      </c>
      <c r="J798" s="19">
        <v>0.28999999999999998</v>
      </c>
      <c r="K798" s="16" t="s">
        <v>308</v>
      </c>
      <c r="L798" s="16" t="s">
        <v>20</v>
      </c>
      <c r="M798" s="16" t="s">
        <v>3881</v>
      </c>
      <c r="N798" s="16" t="s">
        <v>3882</v>
      </c>
    </row>
    <row r="799" spans="1:14" ht="20.100000000000001" customHeight="1" x14ac:dyDescent="0.25">
      <c r="A799" s="15" t="s">
        <v>3883</v>
      </c>
      <c r="B799" s="16" t="s">
        <v>105</v>
      </c>
      <c r="C799" s="15">
        <v>8402305</v>
      </c>
      <c r="D799" s="16" t="s">
        <v>452</v>
      </c>
      <c r="E799" s="15" t="s">
        <v>3884</v>
      </c>
      <c r="F799" s="21" t="str">
        <f>HYPERLINK("https://psearch.kitsapgov.com/webappa/index.html?parcelID=2453421&amp;Theme=Imagery","2453421")</f>
        <v>2453421</v>
      </c>
      <c r="G799" s="16" t="s">
        <v>3885</v>
      </c>
      <c r="H799" s="17">
        <v>45323</v>
      </c>
      <c r="I799" s="18">
        <v>375000</v>
      </c>
      <c r="J799" s="19">
        <v>1.24</v>
      </c>
      <c r="K799" s="16" t="s">
        <v>455</v>
      </c>
      <c r="L799" s="16" t="s">
        <v>20</v>
      </c>
      <c r="M799" s="16" t="s">
        <v>3791</v>
      </c>
      <c r="N799" s="16" t="s">
        <v>3886</v>
      </c>
    </row>
    <row r="800" spans="1:14" ht="20.100000000000001" customHeight="1" x14ac:dyDescent="0.25">
      <c r="A800" s="15" t="s">
        <v>3887</v>
      </c>
      <c r="B800" s="16" t="s">
        <v>24</v>
      </c>
      <c r="C800" s="15">
        <v>8100501</v>
      </c>
      <c r="D800" s="16" t="s">
        <v>63</v>
      </c>
      <c r="E800" s="15" t="s">
        <v>3888</v>
      </c>
      <c r="F800" s="21" t="str">
        <f>HYPERLINK("https://psearch.kitsapgov.com/webappa/index.html?parcelID=2225159&amp;Theme=Imagery","2225159")</f>
        <v>2225159</v>
      </c>
      <c r="G800" s="16" t="s">
        <v>3889</v>
      </c>
      <c r="H800" s="17">
        <v>45322</v>
      </c>
      <c r="I800" s="18">
        <v>6000000</v>
      </c>
      <c r="J800" s="19">
        <v>0.28000000000000003</v>
      </c>
      <c r="K800" s="16" t="s">
        <v>93</v>
      </c>
      <c r="L800" s="16" t="s">
        <v>38</v>
      </c>
      <c r="M800" s="16" t="s">
        <v>3890</v>
      </c>
      <c r="N800" s="16" t="s">
        <v>3891</v>
      </c>
    </row>
    <row r="801" spans="1:14" ht="20.100000000000001" customHeight="1" x14ac:dyDescent="0.25">
      <c r="A801" s="15" t="s">
        <v>3892</v>
      </c>
      <c r="B801" s="16" t="s">
        <v>105</v>
      </c>
      <c r="C801" s="15">
        <v>8100506</v>
      </c>
      <c r="D801" s="16" t="s">
        <v>286</v>
      </c>
      <c r="E801" s="15" t="s">
        <v>1287</v>
      </c>
      <c r="F801" s="21" t="str">
        <f>HYPERLINK("https://psearch.kitsapgov.com/webappa/index.html?parcelID=1131887&amp;Theme=Imagery","1131887")</f>
        <v>1131887</v>
      </c>
      <c r="G801" s="16" t="s">
        <v>1288</v>
      </c>
      <c r="H801" s="17">
        <v>45331</v>
      </c>
      <c r="I801" s="18">
        <v>100000</v>
      </c>
      <c r="J801" s="19">
        <v>0.09</v>
      </c>
      <c r="K801" s="16" t="s">
        <v>168</v>
      </c>
      <c r="L801" s="16" t="s">
        <v>20</v>
      </c>
      <c r="M801" s="16" t="s">
        <v>1290</v>
      </c>
      <c r="N801" s="16" t="s">
        <v>3893</v>
      </c>
    </row>
    <row r="802" spans="1:14" ht="20.100000000000001" customHeight="1" x14ac:dyDescent="0.25">
      <c r="A802" s="15" t="s">
        <v>3894</v>
      </c>
      <c r="B802" s="16" t="s">
        <v>185</v>
      </c>
      <c r="C802" s="15">
        <v>8401104</v>
      </c>
      <c r="D802" s="16" t="s">
        <v>241</v>
      </c>
      <c r="E802" s="15" t="s">
        <v>3895</v>
      </c>
      <c r="F802" s="21" t="str">
        <f>HYPERLINK("https://psearch.kitsapgov.com/webappa/index.html?parcelID=1924042&amp;Theme=Imagery","1924042")</f>
        <v>1924042</v>
      </c>
      <c r="G802" s="16" t="s">
        <v>3896</v>
      </c>
      <c r="H802" s="17">
        <v>45337</v>
      </c>
      <c r="I802" s="18">
        <v>885000</v>
      </c>
      <c r="J802" s="19">
        <v>0.08</v>
      </c>
      <c r="K802" s="16" t="s">
        <v>82</v>
      </c>
      <c r="L802" s="16" t="s">
        <v>20</v>
      </c>
      <c r="M802" s="16" t="s">
        <v>3897</v>
      </c>
      <c r="N802" s="16" t="s">
        <v>3898</v>
      </c>
    </row>
    <row r="803" spans="1:14" ht="20.100000000000001" customHeight="1" x14ac:dyDescent="0.25">
      <c r="A803" s="15" t="s">
        <v>3899</v>
      </c>
      <c r="B803" s="16" t="s">
        <v>1244</v>
      </c>
      <c r="C803" s="15">
        <v>9400204</v>
      </c>
      <c r="D803" s="16" t="s">
        <v>884</v>
      </c>
      <c r="E803" s="15" t="s">
        <v>3900</v>
      </c>
      <c r="F803" s="21" t="str">
        <f>HYPERLINK("https://psearch.kitsapgov.com/webappa/index.html?parcelID=2003275&amp;Theme=Imagery","2003275")</f>
        <v>2003275</v>
      </c>
      <c r="G803" s="16" t="s">
        <v>3901</v>
      </c>
      <c r="H803" s="17">
        <v>45343</v>
      </c>
      <c r="I803" s="18">
        <v>420000</v>
      </c>
      <c r="J803" s="19">
        <v>0.16</v>
      </c>
      <c r="K803" s="16" t="s">
        <v>2613</v>
      </c>
      <c r="L803" s="16" t="s">
        <v>20</v>
      </c>
      <c r="M803" s="16" t="s">
        <v>3902</v>
      </c>
      <c r="N803" s="16" t="s">
        <v>3903</v>
      </c>
    </row>
    <row r="804" spans="1:14" ht="20.100000000000001" customHeight="1" x14ac:dyDescent="0.25">
      <c r="A804" s="15" t="s">
        <v>3904</v>
      </c>
      <c r="B804" s="16" t="s">
        <v>560</v>
      </c>
      <c r="C804" s="15">
        <v>8402405</v>
      </c>
      <c r="D804" s="16" t="s">
        <v>71</v>
      </c>
      <c r="E804" s="15" t="s">
        <v>3905</v>
      </c>
      <c r="F804" s="21" t="str">
        <f>HYPERLINK("https://psearch.kitsapgov.com/webappa/index.html?parcelID=2297588&amp;Theme=Imagery","2297588")</f>
        <v>2297588</v>
      </c>
      <c r="G804" s="16" t="s">
        <v>3906</v>
      </c>
      <c r="H804" s="17">
        <v>45348</v>
      </c>
      <c r="I804" s="18">
        <v>75000</v>
      </c>
      <c r="J804" s="19">
        <v>0</v>
      </c>
      <c r="L804" s="16" t="s">
        <v>944</v>
      </c>
      <c r="M804" s="16" t="s">
        <v>3860</v>
      </c>
      <c r="N804" s="16" t="s">
        <v>3907</v>
      </c>
    </row>
    <row r="805" spans="1:14" ht="20.100000000000001" customHeight="1" x14ac:dyDescent="0.25">
      <c r="A805" s="15" t="s">
        <v>3908</v>
      </c>
      <c r="B805" s="16" t="s">
        <v>560</v>
      </c>
      <c r="C805" s="15">
        <v>8402405</v>
      </c>
      <c r="D805" s="16" t="s">
        <v>71</v>
      </c>
      <c r="E805" s="15" t="s">
        <v>3909</v>
      </c>
      <c r="F805" s="21" t="str">
        <f>HYPERLINK("https://psearch.kitsapgov.com/webappa/index.html?parcelID=2464568&amp;Theme=Imagery","2464568")</f>
        <v>2464568</v>
      </c>
      <c r="G805" s="16" t="s">
        <v>3910</v>
      </c>
      <c r="H805" s="17">
        <v>45344</v>
      </c>
      <c r="I805" s="18">
        <v>239000</v>
      </c>
      <c r="J805" s="19">
        <v>0</v>
      </c>
      <c r="L805" s="16" t="s">
        <v>944</v>
      </c>
      <c r="M805" s="16" t="s">
        <v>3911</v>
      </c>
      <c r="N805" s="16" t="s">
        <v>3912</v>
      </c>
    </row>
    <row r="806" spans="1:14" ht="20.100000000000001" customHeight="1" x14ac:dyDescent="0.25">
      <c r="A806" s="15" t="s">
        <v>3913</v>
      </c>
      <c r="B806" s="16" t="s">
        <v>130</v>
      </c>
      <c r="C806" s="15">
        <v>8402405</v>
      </c>
      <c r="D806" s="16" t="s">
        <v>71</v>
      </c>
      <c r="E806" s="15" t="s">
        <v>3171</v>
      </c>
      <c r="F806" s="21" t="str">
        <f>HYPERLINK("https://psearch.kitsapgov.com/webappa/index.html?parcelID=1079730&amp;Theme=Imagery","1079730")</f>
        <v>1079730</v>
      </c>
      <c r="G806" s="16" t="s">
        <v>3172</v>
      </c>
      <c r="H806" s="17">
        <v>45343</v>
      </c>
      <c r="I806" s="18">
        <v>129000</v>
      </c>
      <c r="J806" s="19">
        <v>0.6</v>
      </c>
      <c r="K806" s="16" t="s">
        <v>82</v>
      </c>
      <c r="L806" s="16" t="s">
        <v>20</v>
      </c>
      <c r="M806" s="16" t="s">
        <v>3914</v>
      </c>
      <c r="N806" s="16" t="s">
        <v>2978</v>
      </c>
    </row>
    <row r="807" spans="1:14" ht="20.100000000000001" customHeight="1" x14ac:dyDescent="0.25">
      <c r="A807" s="15" t="s">
        <v>3915</v>
      </c>
      <c r="B807" s="16" t="s">
        <v>105</v>
      </c>
      <c r="C807" s="15">
        <v>8402306</v>
      </c>
      <c r="D807" s="16" t="s">
        <v>621</v>
      </c>
      <c r="E807" s="15" t="s">
        <v>3916</v>
      </c>
      <c r="F807" s="21" t="str">
        <f>HYPERLINK("https://psearch.kitsapgov.com/webappa/index.html?parcelID=2366961&amp;Theme=Imagery","2366961")</f>
        <v>2366961</v>
      </c>
      <c r="G807" s="16" t="s">
        <v>3917</v>
      </c>
      <c r="H807" s="17">
        <v>45350</v>
      </c>
      <c r="I807" s="18">
        <v>18702</v>
      </c>
      <c r="J807" s="19">
        <v>0.16</v>
      </c>
      <c r="K807" s="16" t="s">
        <v>880</v>
      </c>
      <c r="L807" s="16" t="s">
        <v>406</v>
      </c>
      <c r="M807" s="16" t="s">
        <v>2372</v>
      </c>
      <c r="N807" s="16" t="s">
        <v>3918</v>
      </c>
    </row>
    <row r="808" spans="1:14" ht="20.100000000000001" customHeight="1" x14ac:dyDescent="0.25">
      <c r="A808" s="15" t="s">
        <v>3919</v>
      </c>
      <c r="B808" s="16" t="s">
        <v>78</v>
      </c>
      <c r="C808" s="15">
        <v>8402307</v>
      </c>
      <c r="D808" s="16" t="s">
        <v>131</v>
      </c>
      <c r="E808" s="15" t="s">
        <v>3920</v>
      </c>
      <c r="F808" s="21" t="str">
        <f>HYPERLINK("https://psearch.kitsapgov.com/webappa/index.html?parcelID=1172089&amp;Theme=Imagery","1172089")</f>
        <v>1172089</v>
      </c>
      <c r="G808" s="16" t="s">
        <v>3921</v>
      </c>
      <c r="H808" s="17">
        <v>45350</v>
      </c>
      <c r="I808" s="18">
        <v>525000</v>
      </c>
      <c r="J808" s="19">
        <v>0.81</v>
      </c>
      <c r="K808" s="16" t="s">
        <v>276</v>
      </c>
      <c r="L808" s="16" t="s">
        <v>20</v>
      </c>
      <c r="M808" s="16" t="s">
        <v>3922</v>
      </c>
      <c r="N808" s="16" t="s">
        <v>3923</v>
      </c>
    </row>
    <row r="809" spans="1:14" ht="20.100000000000001" customHeight="1" x14ac:dyDescent="0.25">
      <c r="A809" s="15" t="s">
        <v>3924</v>
      </c>
      <c r="B809" s="16" t="s">
        <v>105</v>
      </c>
      <c r="C809" s="15">
        <v>8400207</v>
      </c>
      <c r="D809" s="16" t="s">
        <v>298</v>
      </c>
      <c r="E809" s="15" t="s">
        <v>3925</v>
      </c>
      <c r="F809" s="21" t="str">
        <f>HYPERLINK("https://psearch.kitsapgov.com/webappa/index.html?parcelID=2457216&amp;Theme=Imagery","2457216")</f>
        <v>2457216</v>
      </c>
      <c r="G809" s="16" t="s">
        <v>3926</v>
      </c>
      <c r="H809" s="17">
        <v>45350</v>
      </c>
      <c r="I809" s="18">
        <v>305000</v>
      </c>
      <c r="J809" s="19">
        <v>0.94</v>
      </c>
      <c r="K809" s="16" t="s">
        <v>960</v>
      </c>
      <c r="L809" s="16" t="s">
        <v>38</v>
      </c>
      <c r="M809" s="16" t="s">
        <v>585</v>
      </c>
      <c r="N809" s="16" t="s">
        <v>3927</v>
      </c>
    </row>
    <row r="810" spans="1:14" ht="20.100000000000001" customHeight="1" x14ac:dyDescent="0.25">
      <c r="A810" s="15" t="s">
        <v>3928</v>
      </c>
      <c r="B810" s="16" t="s">
        <v>533</v>
      </c>
      <c r="C810" s="15">
        <v>9100543</v>
      </c>
      <c r="D810" s="16" t="s">
        <v>1628</v>
      </c>
      <c r="E810" s="15" t="s">
        <v>3929</v>
      </c>
      <c r="F810" s="21" t="str">
        <f>HYPERLINK("https://psearch.kitsapgov.com/webappa/index.html?parcelID=1474626&amp;Theme=Imagery","1474626")</f>
        <v>1474626</v>
      </c>
      <c r="G810" s="16" t="s">
        <v>3930</v>
      </c>
      <c r="H810" s="17">
        <v>45349</v>
      </c>
      <c r="I810" s="18">
        <v>1400000</v>
      </c>
      <c r="J810" s="19">
        <v>0.43</v>
      </c>
      <c r="K810" s="16" t="s">
        <v>377</v>
      </c>
      <c r="L810" s="16" t="s">
        <v>20</v>
      </c>
      <c r="M810" s="16" t="s">
        <v>3931</v>
      </c>
      <c r="N810" s="16" t="s">
        <v>3932</v>
      </c>
    </row>
    <row r="811" spans="1:14" ht="20.100000000000001" customHeight="1" x14ac:dyDescent="0.25">
      <c r="A811" s="15" t="s">
        <v>3933</v>
      </c>
      <c r="B811" s="16" t="s">
        <v>159</v>
      </c>
      <c r="C811" s="15">
        <v>8100506</v>
      </c>
      <c r="D811" s="16" t="s">
        <v>286</v>
      </c>
      <c r="E811" s="15" t="s">
        <v>3934</v>
      </c>
      <c r="F811" s="21" t="str">
        <f>HYPERLINK("https://psearch.kitsapgov.com/webappa/index.html?parcelID=2159879&amp;Theme=Imagery","2159879")</f>
        <v>2159879</v>
      </c>
      <c r="G811" s="16" t="s">
        <v>3935</v>
      </c>
      <c r="H811" s="17">
        <v>45357</v>
      </c>
      <c r="I811" s="18">
        <v>150000</v>
      </c>
      <c r="J811" s="19">
        <v>0.11</v>
      </c>
      <c r="K811" s="16" t="s">
        <v>168</v>
      </c>
      <c r="L811" s="16" t="s">
        <v>20</v>
      </c>
      <c r="M811" s="16" t="s">
        <v>3936</v>
      </c>
      <c r="N811" s="16" t="s">
        <v>3631</v>
      </c>
    </row>
    <row r="812" spans="1:14" ht="20.100000000000001" customHeight="1" x14ac:dyDescent="0.25">
      <c r="A812" s="15" t="s">
        <v>3937</v>
      </c>
      <c r="B812" s="16" t="s">
        <v>98</v>
      </c>
      <c r="C812" s="15">
        <v>8303660</v>
      </c>
      <c r="D812" s="16" t="s">
        <v>252</v>
      </c>
      <c r="E812" s="15" t="s">
        <v>3938</v>
      </c>
      <c r="F812" s="21" t="str">
        <f>HYPERLINK("https://psearch.kitsapgov.com/webappa/index.html?parcelID=1882687&amp;Theme=Imagery","1882687")</f>
        <v>1882687</v>
      </c>
      <c r="G812" s="16" t="s">
        <v>3939</v>
      </c>
      <c r="H812" s="17">
        <v>45358</v>
      </c>
      <c r="I812" s="18">
        <v>200000</v>
      </c>
      <c r="J812" s="19">
        <v>0</v>
      </c>
      <c r="L812" s="16" t="s">
        <v>944</v>
      </c>
      <c r="M812" s="16" t="s">
        <v>1600</v>
      </c>
      <c r="N812" s="16" t="s">
        <v>3112</v>
      </c>
    </row>
    <row r="813" spans="1:14" ht="20.100000000000001" customHeight="1" x14ac:dyDescent="0.25">
      <c r="A813" s="15" t="s">
        <v>3940</v>
      </c>
      <c r="B813" s="16" t="s">
        <v>16</v>
      </c>
      <c r="C813" s="15">
        <v>8303601</v>
      </c>
      <c r="D813" s="16" t="s">
        <v>25</v>
      </c>
      <c r="E813" s="15" t="s">
        <v>1372</v>
      </c>
      <c r="F813" s="21" t="str">
        <f>HYPERLINK("https://psearch.kitsapgov.com/webappa/index.html?parcelID=2328342&amp;Theme=Imagery","2328342")</f>
        <v>2328342</v>
      </c>
      <c r="G813" s="16" t="s">
        <v>1373</v>
      </c>
      <c r="H813" s="17">
        <v>45358</v>
      </c>
      <c r="I813" s="18">
        <v>380000</v>
      </c>
      <c r="J813" s="19">
        <v>0</v>
      </c>
      <c r="L813" s="16" t="s">
        <v>20</v>
      </c>
      <c r="M813" s="16" t="s">
        <v>1374</v>
      </c>
      <c r="N813" s="16" t="s">
        <v>3941</v>
      </c>
    </row>
    <row r="814" spans="1:14" ht="20.100000000000001" customHeight="1" x14ac:dyDescent="0.25">
      <c r="A814" s="15" t="s">
        <v>3942</v>
      </c>
      <c r="B814" s="16" t="s">
        <v>1759</v>
      </c>
      <c r="C814" s="15">
        <v>8303601</v>
      </c>
      <c r="D814" s="16" t="s">
        <v>25</v>
      </c>
      <c r="E814" s="15" t="s">
        <v>3943</v>
      </c>
      <c r="F814" s="21" t="str">
        <f>HYPERLINK("https://psearch.kitsapgov.com/webappa/index.html?parcelID=1885300&amp;Theme=Imagery","1885300")</f>
        <v>1885300</v>
      </c>
      <c r="G814" s="16" t="s">
        <v>3944</v>
      </c>
      <c r="H814" s="17">
        <v>45359</v>
      </c>
      <c r="I814" s="18">
        <v>400000</v>
      </c>
      <c r="J814" s="19">
        <v>0</v>
      </c>
      <c r="L814" s="16" t="s">
        <v>20</v>
      </c>
      <c r="M814" s="16" t="s">
        <v>3945</v>
      </c>
      <c r="N814" s="16" t="s">
        <v>3946</v>
      </c>
    </row>
    <row r="815" spans="1:14" ht="20.100000000000001" customHeight="1" x14ac:dyDescent="0.25">
      <c r="A815" s="15" t="s">
        <v>3947</v>
      </c>
      <c r="B815" s="16" t="s">
        <v>202</v>
      </c>
      <c r="C815" s="15">
        <v>9100541</v>
      </c>
      <c r="D815" s="16" t="s">
        <v>186</v>
      </c>
      <c r="E815" s="15" t="s">
        <v>3726</v>
      </c>
      <c r="F815" s="21" t="str">
        <f>HYPERLINK("https://psearch.kitsapgov.com/webappa/index.html?parcelID=1462779&amp;Theme=Imagery","1462779")</f>
        <v>1462779</v>
      </c>
      <c r="G815" s="16" t="s">
        <v>3727</v>
      </c>
      <c r="H815" s="17">
        <v>45371</v>
      </c>
      <c r="I815" s="18">
        <v>200000</v>
      </c>
      <c r="J815" s="19">
        <v>0.14000000000000001</v>
      </c>
      <c r="K815" s="16" t="s">
        <v>377</v>
      </c>
      <c r="L815" s="16" t="s">
        <v>20</v>
      </c>
      <c r="M815" s="16" t="s">
        <v>3631</v>
      </c>
      <c r="N815" s="16" t="s">
        <v>3948</v>
      </c>
    </row>
    <row r="816" spans="1:14" ht="20.100000000000001" customHeight="1" x14ac:dyDescent="0.25">
      <c r="A816" s="15" t="s">
        <v>3949</v>
      </c>
      <c r="B816" s="16" t="s">
        <v>159</v>
      </c>
      <c r="C816" s="15">
        <v>8100510</v>
      </c>
      <c r="D816" s="16" t="s">
        <v>106</v>
      </c>
      <c r="E816" s="15" t="s">
        <v>3950</v>
      </c>
      <c r="F816" s="21" t="str">
        <f>HYPERLINK("https://psearch.kitsapgov.com/webappa/index.html?parcelID=1438142&amp;Theme=Imagery","1438142")</f>
        <v>1438142</v>
      </c>
      <c r="G816" s="16" t="s">
        <v>3951</v>
      </c>
      <c r="H816" s="17">
        <v>45377</v>
      </c>
      <c r="I816" s="18">
        <v>75000</v>
      </c>
      <c r="J816" s="19">
        <v>0.02</v>
      </c>
      <c r="K816" s="16" t="s">
        <v>109</v>
      </c>
      <c r="L816" s="16" t="s">
        <v>20</v>
      </c>
      <c r="M816" s="16" t="s">
        <v>3952</v>
      </c>
      <c r="N816" s="16" t="s">
        <v>3953</v>
      </c>
    </row>
    <row r="817" spans="1:14" ht="20.100000000000001" customHeight="1" x14ac:dyDescent="0.25">
      <c r="A817" s="15" t="s">
        <v>3954</v>
      </c>
      <c r="B817" s="16" t="s">
        <v>172</v>
      </c>
      <c r="C817" s="15">
        <v>9100541</v>
      </c>
      <c r="D817" s="16" t="s">
        <v>186</v>
      </c>
      <c r="E817" s="15" t="s">
        <v>3955</v>
      </c>
      <c r="F817" s="21" t="str">
        <f>HYPERLINK("https://psearch.kitsapgov.com/webappa/index.html?parcelID=1455005&amp;Theme=Imagery","1455005")</f>
        <v>1455005</v>
      </c>
      <c r="G817" s="16" t="s">
        <v>3956</v>
      </c>
      <c r="H817" s="17">
        <v>45376</v>
      </c>
      <c r="I817" s="18">
        <v>1575000</v>
      </c>
      <c r="J817" s="19">
        <v>0.2</v>
      </c>
      <c r="K817" s="16" t="s">
        <v>377</v>
      </c>
      <c r="L817" s="16" t="s">
        <v>38</v>
      </c>
      <c r="M817" s="16" t="s">
        <v>3957</v>
      </c>
      <c r="N817" s="16" t="s">
        <v>3958</v>
      </c>
    </row>
    <row r="818" spans="1:14" ht="20.100000000000001" customHeight="1" x14ac:dyDescent="0.25">
      <c r="A818" s="15" t="s">
        <v>3959</v>
      </c>
      <c r="B818" s="16" t="s">
        <v>98</v>
      </c>
      <c r="C818" s="15">
        <v>8400206</v>
      </c>
      <c r="D818" s="16" t="s">
        <v>99</v>
      </c>
      <c r="E818" s="15" t="s">
        <v>3960</v>
      </c>
      <c r="F818" s="21" t="str">
        <f>HYPERLINK("https://psearch.kitsapgov.com/webappa/index.html?parcelID=2071033&amp;Theme=Imagery","2071033")</f>
        <v>2071033</v>
      </c>
      <c r="G818" s="16" t="s">
        <v>661</v>
      </c>
      <c r="H818" s="17">
        <v>45379</v>
      </c>
      <c r="I818" s="18">
        <v>70000</v>
      </c>
      <c r="J818" s="19">
        <v>0</v>
      </c>
      <c r="L818" s="16" t="s">
        <v>20</v>
      </c>
      <c r="M818" s="16" t="s">
        <v>3961</v>
      </c>
      <c r="N818" s="16" t="s">
        <v>1702</v>
      </c>
    </row>
    <row r="819" spans="1:14" ht="20.100000000000001" customHeight="1" x14ac:dyDescent="0.25">
      <c r="A819" s="15" t="s">
        <v>3962</v>
      </c>
      <c r="B819" s="16" t="s">
        <v>533</v>
      </c>
      <c r="C819" s="15">
        <v>9100591</v>
      </c>
      <c r="D819" s="16" t="s">
        <v>318</v>
      </c>
      <c r="E819" s="15" t="s">
        <v>3963</v>
      </c>
      <c r="F819" s="21" t="str">
        <f>HYPERLINK("https://psearch.kitsapgov.com/webappa/index.html?parcelID=1148055&amp;Theme=Imagery","1148055")</f>
        <v>1148055</v>
      </c>
      <c r="G819" s="16" t="s">
        <v>3964</v>
      </c>
      <c r="H819" s="17">
        <v>45383</v>
      </c>
      <c r="I819" s="18">
        <v>1100000</v>
      </c>
      <c r="J819" s="19">
        <v>0.92</v>
      </c>
      <c r="K819" s="16" t="s">
        <v>176</v>
      </c>
      <c r="L819" s="16" t="s">
        <v>38</v>
      </c>
      <c r="M819" s="16" t="s">
        <v>3965</v>
      </c>
      <c r="N819" s="16" t="s">
        <v>3966</v>
      </c>
    </row>
    <row r="820" spans="1:14" ht="20.100000000000001" customHeight="1" x14ac:dyDescent="0.25">
      <c r="A820" s="15" t="s">
        <v>3967</v>
      </c>
      <c r="B820" s="16" t="s">
        <v>130</v>
      </c>
      <c r="C820" s="15">
        <v>8401104</v>
      </c>
      <c r="D820" s="16" t="s">
        <v>241</v>
      </c>
      <c r="E820" s="15" t="s">
        <v>924</v>
      </c>
      <c r="F820" s="21" t="str">
        <f>HYPERLINK("https://psearch.kitsapgov.com/webappa/index.html?parcelID=2254548&amp;Theme=Imagery","2254548")</f>
        <v>2254548</v>
      </c>
      <c r="G820" s="16" t="s">
        <v>925</v>
      </c>
      <c r="H820" s="17">
        <v>45379</v>
      </c>
      <c r="I820" s="18">
        <v>3525000</v>
      </c>
      <c r="J820" s="19">
        <v>1.69</v>
      </c>
      <c r="K820" s="16" t="s">
        <v>679</v>
      </c>
      <c r="L820" s="16" t="s">
        <v>38</v>
      </c>
      <c r="M820" s="16" t="s">
        <v>927</v>
      </c>
      <c r="N820" s="16" t="s">
        <v>3968</v>
      </c>
    </row>
    <row r="821" spans="1:14" ht="20.100000000000001" customHeight="1" x14ac:dyDescent="0.25">
      <c r="A821" s="15" t="s">
        <v>3969</v>
      </c>
      <c r="B821" s="16" t="s">
        <v>42</v>
      </c>
      <c r="C821" s="15">
        <v>8100505</v>
      </c>
      <c r="D821" s="16" t="s">
        <v>670</v>
      </c>
      <c r="E821" s="15" t="s">
        <v>3970</v>
      </c>
      <c r="F821" s="21" t="str">
        <f>HYPERLINK("https://psearch.kitsapgov.com/webappa/index.html?parcelID=2093862&amp;Theme=Imagery","2093862")</f>
        <v>2093862</v>
      </c>
      <c r="G821" s="16" t="s">
        <v>3971</v>
      </c>
      <c r="H821" s="17">
        <v>45378</v>
      </c>
      <c r="I821" s="18">
        <v>2900000</v>
      </c>
      <c r="J821" s="19">
        <v>0.77</v>
      </c>
      <c r="K821" s="16" t="s">
        <v>673</v>
      </c>
      <c r="L821" s="16" t="s">
        <v>190</v>
      </c>
      <c r="M821" s="16" t="s">
        <v>3972</v>
      </c>
      <c r="N821" s="16" t="s">
        <v>3973</v>
      </c>
    </row>
    <row r="822" spans="1:14" ht="20.100000000000001" customHeight="1" x14ac:dyDescent="0.25">
      <c r="A822" s="15" t="s">
        <v>3974</v>
      </c>
      <c r="B822" s="16" t="s">
        <v>222</v>
      </c>
      <c r="C822" s="15">
        <v>8400302</v>
      </c>
      <c r="D822" s="16" t="s">
        <v>397</v>
      </c>
      <c r="E822" s="15" t="s">
        <v>845</v>
      </c>
      <c r="F822" s="21" t="str">
        <f>HYPERLINK("https://psearch.kitsapgov.com/webappa/index.html?parcelID=1408558&amp;Theme=Imagery","1408558")</f>
        <v>1408558</v>
      </c>
      <c r="G822" s="16" t="s">
        <v>846</v>
      </c>
      <c r="H822" s="17">
        <v>45390</v>
      </c>
      <c r="I822" s="18">
        <v>2100000</v>
      </c>
      <c r="J822" s="19">
        <v>1.43</v>
      </c>
      <c r="K822" s="16" t="s">
        <v>343</v>
      </c>
      <c r="L822" s="16" t="s">
        <v>20</v>
      </c>
      <c r="M822" s="16" t="s">
        <v>848</v>
      </c>
      <c r="N822" s="16" t="s">
        <v>3975</v>
      </c>
    </row>
    <row r="823" spans="1:14" ht="20.100000000000001" customHeight="1" x14ac:dyDescent="0.25">
      <c r="A823" s="15" t="s">
        <v>3976</v>
      </c>
      <c r="B823" s="16" t="s">
        <v>3977</v>
      </c>
      <c r="C823" s="15">
        <v>9401114</v>
      </c>
      <c r="D823" s="16" t="s">
        <v>3978</v>
      </c>
      <c r="E823" s="15" t="s">
        <v>3979</v>
      </c>
      <c r="F823" s="21" t="str">
        <f>HYPERLINK("https://psearch.kitsapgov.com/webappa/index.html?parcelID=2701365&amp;Theme=Imagery","2701365")</f>
        <v>2701365</v>
      </c>
      <c r="G823" s="16" t="s">
        <v>3019</v>
      </c>
      <c r="H823" s="17">
        <v>45386</v>
      </c>
      <c r="I823" s="18">
        <v>28785</v>
      </c>
      <c r="J823" s="19">
        <v>20.149999999999999</v>
      </c>
      <c r="K823" s="16" t="s">
        <v>3980</v>
      </c>
      <c r="L823" s="16" t="s">
        <v>94</v>
      </c>
      <c r="M823" s="16" t="s">
        <v>3981</v>
      </c>
      <c r="N823" s="16" t="s">
        <v>3982</v>
      </c>
    </row>
    <row r="824" spans="1:14" ht="20.100000000000001" customHeight="1" x14ac:dyDescent="0.25">
      <c r="A824" s="15" t="s">
        <v>3983</v>
      </c>
      <c r="B824" s="16" t="s">
        <v>70</v>
      </c>
      <c r="C824" s="15">
        <v>8100504</v>
      </c>
      <c r="D824" s="16" t="s">
        <v>210</v>
      </c>
      <c r="E824" s="15" t="s">
        <v>3602</v>
      </c>
      <c r="F824" s="21" t="str">
        <f>HYPERLINK("https://psearch.kitsapgov.com/webappa/index.html?parcelID=1159623&amp;Theme=Imagery","1159623")</f>
        <v>1159623</v>
      </c>
      <c r="G824" s="16" t="s">
        <v>3603</v>
      </c>
      <c r="H824" s="17">
        <v>45407</v>
      </c>
      <c r="I824" s="18">
        <v>1350000</v>
      </c>
      <c r="J824" s="19">
        <v>1.46</v>
      </c>
      <c r="K824" s="16" t="s">
        <v>37</v>
      </c>
      <c r="L824" s="16" t="s">
        <v>20</v>
      </c>
      <c r="M824" s="16" t="s">
        <v>3604</v>
      </c>
      <c r="N824" s="16" t="s">
        <v>3984</v>
      </c>
    </row>
    <row r="825" spans="1:14" ht="20.100000000000001" customHeight="1" x14ac:dyDescent="0.25">
      <c r="A825" s="15" t="s">
        <v>3985</v>
      </c>
      <c r="B825" s="16" t="s">
        <v>24</v>
      </c>
      <c r="C825" s="15">
        <v>8401102</v>
      </c>
      <c r="D825" s="16" t="s">
        <v>17</v>
      </c>
      <c r="E825" s="15" t="s">
        <v>3986</v>
      </c>
      <c r="F825" s="21" t="str">
        <f>HYPERLINK("https://psearch.kitsapgov.com/webappa/index.html?parcelID=2176337&amp;Theme=Imagery","2176337")</f>
        <v>2176337</v>
      </c>
      <c r="G825" s="16" t="s">
        <v>3987</v>
      </c>
      <c r="H825" s="17">
        <v>45407</v>
      </c>
      <c r="I825" s="18">
        <v>790000</v>
      </c>
      <c r="J825" s="19">
        <v>0.17</v>
      </c>
      <c r="K825" s="16" t="s">
        <v>308</v>
      </c>
      <c r="L825" s="16" t="s">
        <v>20</v>
      </c>
      <c r="M825" s="16" t="s">
        <v>3988</v>
      </c>
      <c r="N825" s="16" t="s">
        <v>3989</v>
      </c>
    </row>
    <row r="826" spans="1:14" ht="20.100000000000001" customHeight="1" x14ac:dyDescent="0.25">
      <c r="A826" s="15" t="s">
        <v>3990</v>
      </c>
      <c r="B826" s="16" t="s">
        <v>78</v>
      </c>
      <c r="C826" s="15">
        <v>9402407</v>
      </c>
      <c r="D826" s="16" t="s">
        <v>223</v>
      </c>
      <c r="E826" s="15" t="s">
        <v>3991</v>
      </c>
      <c r="F826" s="21" t="str">
        <f>HYPERLINK("https://psearch.kitsapgov.com/webappa/index.html?parcelID=1720622&amp;Theme=Imagery","1720622")</f>
        <v>1720622</v>
      </c>
      <c r="G826" s="16" t="s">
        <v>3992</v>
      </c>
      <c r="H826" s="17">
        <v>45411</v>
      </c>
      <c r="I826" s="18">
        <v>314000</v>
      </c>
      <c r="J826" s="19">
        <v>0.16</v>
      </c>
      <c r="K826" s="16" t="s">
        <v>37</v>
      </c>
      <c r="L826" s="16" t="s">
        <v>20</v>
      </c>
      <c r="M826" s="16" t="s">
        <v>3993</v>
      </c>
      <c r="N826" s="16" t="s">
        <v>3994</v>
      </c>
    </row>
    <row r="827" spans="1:14" ht="20.100000000000001" customHeight="1" x14ac:dyDescent="0.25">
      <c r="A827" s="15" t="s">
        <v>3995</v>
      </c>
      <c r="B827" s="16" t="s">
        <v>209</v>
      </c>
      <c r="C827" s="15">
        <v>8100502</v>
      </c>
      <c r="D827" s="16" t="s">
        <v>142</v>
      </c>
      <c r="E827" s="15" t="s">
        <v>3996</v>
      </c>
      <c r="F827" s="21" t="str">
        <f>HYPERLINK("https://psearch.kitsapgov.com/webappa/index.html?parcelID=1453935&amp;Theme=Imagery","1453935")</f>
        <v>1453935</v>
      </c>
      <c r="G827" s="16" t="s">
        <v>3997</v>
      </c>
      <c r="H827" s="17">
        <v>45407</v>
      </c>
      <c r="I827" s="18">
        <v>1350000</v>
      </c>
      <c r="J827" s="19">
        <v>0.8</v>
      </c>
      <c r="K827" s="16" t="s">
        <v>168</v>
      </c>
      <c r="L827" s="16" t="s">
        <v>20</v>
      </c>
      <c r="M827" s="16" t="s">
        <v>3998</v>
      </c>
      <c r="N827" s="16" t="s">
        <v>3999</v>
      </c>
    </row>
    <row r="828" spans="1:14" ht="20.100000000000001" customHeight="1" x14ac:dyDescent="0.25">
      <c r="A828" s="15" t="s">
        <v>4000</v>
      </c>
      <c r="B828" s="16" t="s">
        <v>78</v>
      </c>
      <c r="C828" s="15">
        <v>8401508</v>
      </c>
      <c r="D828" s="16" t="s">
        <v>1341</v>
      </c>
      <c r="E828" s="15" t="s">
        <v>1487</v>
      </c>
      <c r="F828" s="21" t="str">
        <f>HYPERLINK("https://psearch.kitsapgov.com/webappa/index.html?parcelID=1261627&amp;Theme=Imagery","1261627")</f>
        <v>1261627</v>
      </c>
      <c r="G828" s="16" t="s">
        <v>1488</v>
      </c>
      <c r="H828" s="17">
        <v>45408</v>
      </c>
      <c r="I828" s="18">
        <v>725000</v>
      </c>
      <c r="J828" s="19">
        <v>4.58</v>
      </c>
      <c r="K828" s="16" t="s">
        <v>37</v>
      </c>
      <c r="L828" s="16" t="s">
        <v>20</v>
      </c>
      <c r="M828" s="16" t="s">
        <v>1492</v>
      </c>
      <c r="N828" s="16" t="s">
        <v>4001</v>
      </c>
    </row>
    <row r="829" spans="1:14" ht="20.100000000000001" customHeight="1" x14ac:dyDescent="0.25">
      <c r="A829" s="15" t="s">
        <v>4002</v>
      </c>
      <c r="B829" s="16" t="s">
        <v>317</v>
      </c>
      <c r="C829" s="15">
        <v>9100541</v>
      </c>
      <c r="D829" s="16" t="s">
        <v>186</v>
      </c>
      <c r="E829" s="15" t="s">
        <v>2446</v>
      </c>
      <c r="F829" s="21" t="str">
        <f>HYPERLINK("https://psearch.kitsapgov.com/webappa/index.html?parcelID=1433499&amp;Theme=Imagery","1433499")</f>
        <v>1433499</v>
      </c>
      <c r="G829" s="16" t="s">
        <v>2447</v>
      </c>
      <c r="H829" s="17">
        <v>45412</v>
      </c>
      <c r="I829" s="18">
        <v>675000</v>
      </c>
      <c r="J829" s="19">
        <v>0.08</v>
      </c>
      <c r="K829" s="16" t="s">
        <v>377</v>
      </c>
      <c r="L829" s="16" t="s">
        <v>20</v>
      </c>
      <c r="M829" s="16" t="s">
        <v>2449</v>
      </c>
      <c r="N829" s="16" t="s">
        <v>4003</v>
      </c>
    </row>
    <row r="830" spans="1:14" ht="20.100000000000001" customHeight="1" x14ac:dyDescent="0.25">
      <c r="A830" s="15" t="s">
        <v>4004</v>
      </c>
      <c r="B830" s="16" t="s">
        <v>24</v>
      </c>
      <c r="C830" s="15">
        <v>8402307</v>
      </c>
      <c r="D830" s="16" t="s">
        <v>131</v>
      </c>
      <c r="E830" s="15" t="s">
        <v>4005</v>
      </c>
      <c r="F830" s="21" t="str">
        <f>HYPERLINK("https://psearch.kitsapgov.com/webappa/index.html?parcelID=2360683&amp;Theme=Imagery","2360683")</f>
        <v>2360683</v>
      </c>
      <c r="G830" s="16" t="s">
        <v>4006</v>
      </c>
      <c r="H830" s="17">
        <v>45412</v>
      </c>
      <c r="I830" s="18">
        <v>2925000</v>
      </c>
      <c r="J830" s="19">
        <v>2.0299999999999998</v>
      </c>
      <c r="K830" s="16" t="s">
        <v>515</v>
      </c>
      <c r="L830" s="16" t="s">
        <v>20</v>
      </c>
      <c r="M830" s="16" t="s">
        <v>2144</v>
      </c>
      <c r="N830" s="16" t="s">
        <v>4007</v>
      </c>
    </row>
    <row r="831" spans="1:14" ht="20.100000000000001" customHeight="1" x14ac:dyDescent="0.25">
      <c r="A831" s="15" t="s">
        <v>4008</v>
      </c>
      <c r="B831" s="16" t="s">
        <v>324</v>
      </c>
      <c r="C831" s="15">
        <v>8401508</v>
      </c>
      <c r="D831" s="16" t="s">
        <v>1341</v>
      </c>
      <c r="E831" s="15" t="s">
        <v>4009</v>
      </c>
      <c r="F831" s="21" t="str">
        <f>HYPERLINK("https://psearch.kitsapgov.com/webappa/index.html?parcelID=2246973&amp;Theme=Imagery","2246973")</f>
        <v>2246973</v>
      </c>
      <c r="G831" s="16" t="s">
        <v>4010</v>
      </c>
      <c r="H831" s="17">
        <v>45413</v>
      </c>
      <c r="I831" s="18">
        <v>950000</v>
      </c>
      <c r="J831" s="19">
        <v>0.88</v>
      </c>
      <c r="K831" s="16" t="s">
        <v>37</v>
      </c>
      <c r="L831" s="16" t="s">
        <v>20</v>
      </c>
      <c r="M831" s="16" t="s">
        <v>4011</v>
      </c>
      <c r="N831" s="16" t="s">
        <v>4012</v>
      </c>
    </row>
    <row r="832" spans="1:14" ht="20.100000000000001" customHeight="1" x14ac:dyDescent="0.25">
      <c r="A832" s="15" t="s">
        <v>4013</v>
      </c>
      <c r="B832" s="16" t="s">
        <v>105</v>
      </c>
      <c r="C832" s="15">
        <v>8400204</v>
      </c>
      <c r="D832" s="16" t="s">
        <v>194</v>
      </c>
      <c r="E832" s="15" t="s">
        <v>341</v>
      </c>
      <c r="F832" s="21" t="str">
        <f>HYPERLINK("https://psearch.kitsapgov.com/webappa/index.html?parcelID=2140549&amp;Theme=Imagery","2140549")</f>
        <v>2140549</v>
      </c>
      <c r="G832" s="16" t="s">
        <v>342</v>
      </c>
      <c r="H832" s="17">
        <v>45413</v>
      </c>
      <c r="I832" s="18">
        <v>9768</v>
      </c>
      <c r="J832" s="19">
        <v>2.7</v>
      </c>
      <c r="K832" s="16" t="s">
        <v>343</v>
      </c>
      <c r="L832" s="16" t="s">
        <v>406</v>
      </c>
      <c r="M832" s="16" t="s">
        <v>2372</v>
      </c>
      <c r="N832" s="16" t="s">
        <v>345</v>
      </c>
    </row>
    <row r="833" spans="1:14" ht="20.100000000000001" customHeight="1" x14ac:dyDescent="0.25">
      <c r="A833" s="15" t="s">
        <v>4014</v>
      </c>
      <c r="B833" s="16" t="s">
        <v>130</v>
      </c>
      <c r="C833" s="15">
        <v>8402405</v>
      </c>
      <c r="D833" s="16" t="s">
        <v>71</v>
      </c>
      <c r="E833" s="15" t="s">
        <v>4015</v>
      </c>
      <c r="F833" s="21" t="str">
        <f>HYPERLINK("https://psearch.kitsapgov.com/webappa/index.html?parcelID=2596500&amp;Theme=Imagery","2596500")</f>
        <v>2596500</v>
      </c>
      <c r="G833" s="16" t="s">
        <v>4016</v>
      </c>
      <c r="H833" s="17">
        <v>45408</v>
      </c>
      <c r="I833" s="18">
        <v>170000</v>
      </c>
      <c r="J833" s="19">
        <v>2.2999999999999998</v>
      </c>
      <c r="K833" s="16" t="s">
        <v>2040</v>
      </c>
      <c r="L833" s="16" t="s">
        <v>38</v>
      </c>
      <c r="M833" s="16" t="s">
        <v>4017</v>
      </c>
      <c r="N833" s="16" t="s">
        <v>4018</v>
      </c>
    </row>
    <row r="834" spans="1:14" ht="20.100000000000001" customHeight="1" x14ac:dyDescent="0.25">
      <c r="A834" s="15" t="s">
        <v>4019</v>
      </c>
      <c r="B834" s="16" t="s">
        <v>70</v>
      </c>
      <c r="C834" s="15">
        <v>8100504</v>
      </c>
      <c r="D834" s="16" t="s">
        <v>210</v>
      </c>
      <c r="E834" s="15" t="s">
        <v>4020</v>
      </c>
      <c r="F834" s="21" t="str">
        <f>HYPERLINK("https://psearch.kitsapgov.com/webappa/index.html?parcelID=1159607&amp;Theme=Imagery","1159607")</f>
        <v>1159607</v>
      </c>
      <c r="G834" s="16" t="s">
        <v>4021</v>
      </c>
      <c r="H834" s="17">
        <v>45413</v>
      </c>
      <c r="I834" s="18">
        <v>560000</v>
      </c>
      <c r="J834" s="19">
        <v>0.34</v>
      </c>
      <c r="K834" s="16" t="s">
        <v>37</v>
      </c>
      <c r="L834" s="16" t="s">
        <v>20</v>
      </c>
      <c r="M834" s="16" t="s">
        <v>3604</v>
      </c>
      <c r="N834" s="16" t="s">
        <v>4022</v>
      </c>
    </row>
    <row r="835" spans="1:14" ht="20.100000000000001" customHeight="1" x14ac:dyDescent="0.25">
      <c r="A835" s="15" t="s">
        <v>4023</v>
      </c>
      <c r="B835" s="16" t="s">
        <v>185</v>
      </c>
      <c r="C835" s="15">
        <v>9100543</v>
      </c>
      <c r="D835" s="16" t="s">
        <v>1628</v>
      </c>
      <c r="E835" s="15" t="s">
        <v>4024</v>
      </c>
      <c r="F835" s="21" t="str">
        <f>HYPERLINK("https://psearch.kitsapgov.com/webappa/index.html?parcelID=1492149&amp;Theme=Imagery","1492149")</f>
        <v>1492149</v>
      </c>
      <c r="G835" s="16" t="s">
        <v>4025</v>
      </c>
      <c r="H835" s="17">
        <v>45410</v>
      </c>
      <c r="I835" s="18">
        <v>801000</v>
      </c>
      <c r="J835" s="19">
        <v>0.17</v>
      </c>
      <c r="K835" s="16" t="s">
        <v>814</v>
      </c>
      <c r="L835" s="16" t="s">
        <v>20</v>
      </c>
      <c r="M835" s="16" t="s">
        <v>4026</v>
      </c>
      <c r="N835" s="16" t="s">
        <v>4027</v>
      </c>
    </row>
    <row r="836" spans="1:14" ht="20.100000000000001" customHeight="1" x14ac:dyDescent="0.25">
      <c r="A836" s="15" t="s">
        <v>4028</v>
      </c>
      <c r="B836" s="16" t="s">
        <v>1026</v>
      </c>
      <c r="C836" s="15">
        <v>8402408</v>
      </c>
      <c r="D836" s="16" t="s">
        <v>160</v>
      </c>
      <c r="E836" s="15" t="s">
        <v>4029</v>
      </c>
      <c r="F836" s="21" t="str">
        <f>HYPERLINK("https://psearch.kitsapgov.com/webappa/index.html?parcelID=2328300&amp;Theme=Imagery","2328300")</f>
        <v>2328300</v>
      </c>
      <c r="G836" s="16" t="s">
        <v>4030</v>
      </c>
      <c r="H836" s="17">
        <v>45419</v>
      </c>
      <c r="I836" s="18">
        <v>1500</v>
      </c>
      <c r="J836" s="19">
        <v>18.09</v>
      </c>
      <c r="K836" s="16" t="s">
        <v>492</v>
      </c>
      <c r="L836" s="16" t="s">
        <v>631</v>
      </c>
      <c r="M836" s="16" t="s">
        <v>4031</v>
      </c>
      <c r="N836" s="16" t="s">
        <v>907</v>
      </c>
    </row>
    <row r="837" spans="1:14" ht="20.100000000000001" customHeight="1" x14ac:dyDescent="0.25">
      <c r="A837" s="15" t="s">
        <v>4032</v>
      </c>
      <c r="B837" s="16" t="s">
        <v>159</v>
      </c>
      <c r="C837" s="15">
        <v>8400202</v>
      </c>
      <c r="D837" s="16" t="s">
        <v>440</v>
      </c>
      <c r="E837" s="15" t="s">
        <v>4033</v>
      </c>
      <c r="F837" s="21" t="str">
        <f>HYPERLINK("https://psearch.kitsapgov.com/webappa/index.html?parcelID=2321271&amp;Theme=Imagery","2321271")</f>
        <v>2321271</v>
      </c>
      <c r="G837" s="16" t="s">
        <v>4034</v>
      </c>
      <c r="H837" s="17">
        <v>45421</v>
      </c>
      <c r="I837" s="18">
        <v>2250000</v>
      </c>
      <c r="J837" s="19">
        <v>0.62</v>
      </c>
      <c r="K837" s="16" t="s">
        <v>443</v>
      </c>
      <c r="L837" s="16" t="s">
        <v>20</v>
      </c>
      <c r="M837" s="16" t="s">
        <v>4035</v>
      </c>
      <c r="N837" s="16" t="s">
        <v>4036</v>
      </c>
    </row>
    <row r="838" spans="1:14" ht="20.100000000000001" customHeight="1" x14ac:dyDescent="0.25">
      <c r="A838" s="15" t="s">
        <v>4037</v>
      </c>
      <c r="B838" s="16" t="s">
        <v>159</v>
      </c>
      <c r="C838" s="15">
        <v>8401101</v>
      </c>
      <c r="D838" s="16" t="s">
        <v>305</v>
      </c>
      <c r="E838" s="15" t="s">
        <v>4038</v>
      </c>
      <c r="F838" s="21" t="str">
        <f>HYPERLINK("https://psearch.kitsapgov.com/webappa/index.html?parcelID=2502854&amp;Theme=Imagery","2502854")</f>
        <v>2502854</v>
      </c>
      <c r="G838" s="16" t="s">
        <v>4039</v>
      </c>
      <c r="H838" s="17">
        <v>45422</v>
      </c>
      <c r="I838" s="18">
        <v>12300000</v>
      </c>
      <c r="J838" s="19">
        <v>12.44</v>
      </c>
      <c r="K838" s="16" t="s">
        <v>308</v>
      </c>
      <c r="L838" s="16" t="s">
        <v>20</v>
      </c>
      <c r="M838" s="16" t="s">
        <v>4040</v>
      </c>
      <c r="N838" s="16" t="s">
        <v>4041</v>
      </c>
    </row>
    <row r="839" spans="1:14" ht="20.100000000000001" customHeight="1" x14ac:dyDescent="0.25">
      <c r="A839" s="15" t="s">
        <v>4042</v>
      </c>
      <c r="B839" s="16" t="s">
        <v>62</v>
      </c>
      <c r="C839" s="15">
        <v>8303601</v>
      </c>
      <c r="D839" s="16" t="s">
        <v>25</v>
      </c>
      <c r="E839" s="15" t="s">
        <v>4043</v>
      </c>
      <c r="F839" s="21" t="str">
        <f>HYPERLINK("https://psearch.kitsapgov.com/webappa/index.html?parcelID=2022580&amp;Theme=Imagery","2022580")</f>
        <v>2022580</v>
      </c>
      <c r="G839" s="16" t="s">
        <v>4044</v>
      </c>
      <c r="H839" s="17">
        <v>45429</v>
      </c>
      <c r="I839" s="18">
        <v>442890</v>
      </c>
      <c r="J839" s="19">
        <v>0.26</v>
      </c>
      <c r="K839" s="16" t="s">
        <v>2251</v>
      </c>
      <c r="L839" s="16" t="s">
        <v>20</v>
      </c>
      <c r="M839" s="16" t="s">
        <v>4045</v>
      </c>
      <c r="N839" s="16" t="s">
        <v>4046</v>
      </c>
    </row>
    <row r="840" spans="1:14" ht="20.100000000000001" customHeight="1" x14ac:dyDescent="0.25">
      <c r="A840" s="15" t="s">
        <v>4047</v>
      </c>
      <c r="B840" s="16" t="s">
        <v>62</v>
      </c>
      <c r="C840" s="15">
        <v>9303606</v>
      </c>
      <c r="D840" s="16" t="s">
        <v>4048</v>
      </c>
      <c r="E840" s="15" t="s">
        <v>4049</v>
      </c>
      <c r="F840" s="21" t="str">
        <f>HYPERLINK("https://psearch.kitsapgov.com/webappa/index.html?parcelID=1539436&amp;Theme=Imagery","1539436")</f>
        <v>1539436</v>
      </c>
      <c r="G840" s="16" t="s">
        <v>4050</v>
      </c>
      <c r="H840" s="17">
        <v>45413</v>
      </c>
      <c r="I840" s="18">
        <v>1500</v>
      </c>
      <c r="J840" s="19">
        <v>0.24</v>
      </c>
      <c r="K840" s="16" t="s">
        <v>905</v>
      </c>
      <c r="L840" s="16" t="s">
        <v>631</v>
      </c>
      <c r="M840" s="16" t="s">
        <v>4051</v>
      </c>
      <c r="N840" s="16" t="s">
        <v>4052</v>
      </c>
    </row>
    <row r="841" spans="1:14" ht="20.100000000000001" customHeight="1" x14ac:dyDescent="0.25">
      <c r="A841" s="15" t="s">
        <v>4053</v>
      </c>
      <c r="B841" s="16" t="s">
        <v>62</v>
      </c>
      <c r="C841" s="15">
        <v>9303606</v>
      </c>
      <c r="D841" s="16" t="s">
        <v>4048</v>
      </c>
      <c r="E841" s="15" t="s">
        <v>4049</v>
      </c>
      <c r="F841" s="21" t="str">
        <f>HYPERLINK("https://psearch.kitsapgov.com/webappa/index.html?parcelID=1539436&amp;Theme=Imagery","1539436")</f>
        <v>1539436</v>
      </c>
      <c r="G841" s="16" t="s">
        <v>4050</v>
      </c>
      <c r="H841" s="17">
        <v>45413</v>
      </c>
      <c r="I841" s="18">
        <v>18800</v>
      </c>
      <c r="J841" s="19">
        <v>0.24</v>
      </c>
      <c r="K841" s="16" t="s">
        <v>905</v>
      </c>
      <c r="L841" s="16" t="s">
        <v>232</v>
      </c>
      <c r="M841" s="16" t="s">
        <v>4051</v>
      </c>
      <c r="N841" s="16" t="s">
        <v>4052</v>
      </c>
    </row>
    <row r="842" spans="1:14" ht="20.100000000000001" customHeight="1" x14ac:dyDescent="0.25">
      <c r="A842" s="15" t="s">
        <v>4054</v>
      </c>
      <c r="B842" s="16" t="s">
        <v>262</v>
      </c>
      <c r="C842" s="15">
        <v>9303627</v>
      </c>
      <c r="D842" s="16" t="s">
        <v>4055</v>
      </c>
      <c r="E842" s="15" t="s">
        <v>4056</v>
      </c>
      <c r="F842" s="21" t="str">
        <f>HYPERLINK("https://psearch.kitsapgov.com/webappa/index.html?parcelID=1539444&amp;Theme=Imagery","1539444")</f>
        <v>1539444</v>
      </c>
      <c r="G842" s="16" t="s">
        <v>4057</v>
      </c>
      <c r="H842" s="17">
        <v>45413</v>
      </c>
      <c r="I842" s="18">
        <v>1500</v>
      </c>
      <c r="J842" s="19">
        <v>0.41</v>
      </c>
      <c r="K842" s="16" t="s">
        <v>905</v>
      </c>
      <c r="L842" s="16" t="s">
        <v>631</v>
      </c>
      <c r="M842" s="16" t="s">
        <v>4051</v>
      </c>
      <c r="N842" s="16" t="s">
        <v>4052</v>
      </c>
    </row>
    <row r="843" spans="1:14" ht="20.100000000000001" customHeight="1" x14ac:dyDescent="0.25">
      <c r="A843" s="15" t="s">
        <v>4058</v>
      </c>
      <c r="B843" s="16" t="s">
        <v>209</v>
      </c>
      <c r="C843" s="15">
        <v>8400301</v>
      </c>
      <c r="D843" s="16" t="s">
        <v>1850</v>
      </c>
      <c r="E843" s="15" t="s">
        <v>3096</v>
      </c>
      <c r="F843" s="21" t="str">
        <f>HYPERLINK("https://psearch.kitsapgov.com/webappa/index.html?parcelID=1582105&amp;Theme=Imagery","1582105")</f>
        <v>1582105</v>
      </c>
      <c r="G843" s="16" t="s">
        <v>3097</v>
      </c>
      <c r="H843" s="17">
        <v>45407</v>
      </c>
      <c r="I843" s="18">
        <v>1505000</v>
      </c>
      <c r="J843" s="19">
        <v>0.5</v>
      </c>
      <c r="K843" s="16" t="s">
        <v>1853</v>
      </c>
      <c r="L843" s="16" t="s">
        <v>20</v>
      </c>
      <c r="M843" s="16" t="s">
        <v>3098</v>
      </c>
      <c r="N843" s="16" t="s">
        <v>4059</v>
      </c>
    </row>
    <row r="844" spans="1:14" ht="20.100000000000001" customHeight="1" x14ac:dyDescent="0.25">
      <c r="A844" s="15" t="s">
        <v>4060</v>
      </c>
      <c r="B844" s="16" t="s">
        <v>159</v>
      </c>
      <c r="C844" s="15">
        <v>8401508</v>
      </c>
      <c r="D844" s="16" t="s">
        <v>1341</v>
      </c>
      <c r="E844" s="15" t="s">
        <v>4061</v>
      </c>
      <c r="F844" s="21" t="str">
        <f>HYPERLINK("https://psearch.kitsapgov.com/webappa/index.html?parcelID=1278944&amp;Theme=Imagery","1278944")</f>
        <v>1278944</v>
      </c>
      <c r="G844" s="16" t="s">
        <v>4062</v>
      </c>
      <c r="H844" s="17">
        <v>45434</v>
      </c>
      <c r="I844" s="18">
        <v>1000000</v>
      </c>
      <c r="J844" s="19">
        <v>1.1399999999999999</v>
      </c>
      <c r="K844" s="16" t="s">
        <v>37</v>
      </c>
      <c r="L844" s="16" t="s">
        <v>20</v>
      </c>
      <c r="M844" s="16" t="s">
        <v>4063</v>
      </c>
      <c r="N844" s="16" t="s">
        <v>4064</v>
      </c>
    </row>
    <row r="845" spans="1:14" ht="20.100000000000001" customHeight="1" x14ac:dyDescent="0.25">
      <c r="A845" s="15" t="s">
        <v>4065</v>
      </c>
      <c r="B845" s="16" t="s">
        <v>1026</v>
      </c>
      <c r="C845" s="15">
        <v>9400205</v>
      </c>
      <c r="D845" s="16" t="s">
        <v>4066</v>
      </c>
      <c r="E845" s="15" t="s">
        <v>4067</v>
      </c>
      <c r="F845" s="21" t="str">
        <f>HYPERLINK("https://psearch.kitsapgov.com/webappa/index.html?parcelID=1388735&amp;Theme=Imagery","1388735")</f>
        <v>1388735</v>
      </c>
      <c r="G845" s="16" t="s">
        <v>4068</v>
      </c>
      <c r="H845" s="17">
        <v>45436</v>
      </c>
      <c r="I845" s="18">
        <v>1480000</v>
      </c>
      <c r="J845" s="19">
        <v>29.86</v>
      </c>
      <c r="K845" s="16" t="s">
        <v>205</v>
      </c>
      <c r="L845" s="16" t="s">
        <v>38</v>
      </c>
      <c r="M845" s="16" t="s">
        <v>4069</v>
      </c>
      <c r="N845" s="16" t="s">
        <v>4070</v>
      </c>
    </row>
    <row r="846" spans="1:14" ht="20.100000000000001" customHeight="1" x14ac:dyDescent="0.25">
      <c r="A846" s="15" t="s">
        <v>4071</v>
      </c>
      <c r="B846" s="16" t="s">
        <v>4072</v>
      </c>
      <c r="C846" s="15">
        <v>9401141</v>
      </c>
      <c r="D846" s="16" t="s">
        <v>4073</v>
      </c>
      <c r="E846" s="15" t="s">
        <v>4074</v>
      </c>
      <c r="F846" s="21" t="str">
        <f>HYPERLINK("https://psearch.kitsapgov.com/webappa/index.html?parcelID=1248699&amp;Theme=Imagery","1248699")</f>
        <v>1248699</v>
      </c>
      <c r="G846" s="16" t="s">
        <v>4075</v>
      </c>
      <c r="H846" s="17">
        <v>45441</v>
      </c>
      <c r="I846" s="18">
        <v>1775000</v>
      </c>
      <c r="J846" s="19">
        <v>0.43</v>
      </c>
      <c r="K846" s="16" t="s">
        <v>82</v>
      </c>
      <c r="L846" s="16" t="s">
        <v>20</v>
      </c>
      <c r="M846" s="16" t="s">
        <v>4076</v>
      </c>
      <c r="N846" s="16" t="s">
        <v>4077</v>
      </c>
    </row>
    <row r="847" spans="1:14" ht="20.100000000000001" customHeight="1" x14ac:dyDescent="0.25">
      <c r="A847" s="15" t="s">
        <v>4078</v>
      </c>
      <c r="B847" s="16" t="s">
        <v>105</v>
      </c>
      <c r="C847" s="15">
        <v>8401104</v>
      </c>
      <c r="D847" s="16" t="s">
        <v>241</v>
      </c>
      <c r="E847" s="15" t="s">
        <v>4079</v>
      </c>
      <c r="F847" s="21" t="str">
        <f>HYPERLINK("https://psearch.kitsapgov.com/webappa/index.html?parcelID=1240670&amp;Theme=Imagery","1240670")</f>
        <v>1240670</v>
      </c>
      <c r="G847" s="16" t="s">
        <v>4080</v>
      </c>
      <c r="H847" s="17">
        <v>45441</v>
      </c>
      <c r="I847" s="18">
        <v>881115</v>
      </c>
      <c r="J847" s="19">
        <v>6.07</v>
      </c>
      <c r="K847" s="16" t="s">
        <v>37</v>
      </c>
      <c r="L847" s="16" t="s">
        <v>38</v>
      </c>
      <c r="M847" s="16" t="s">
        <v>4081</v>
      </c>
      <c r="N847" s="16" t="s">
        <v>4082</v>
      </c>
    </row>
    <row r="848" spans="1:14" ht="20.100000000000001" customHeight="1" x14ac:dyDescent="0.25">
      <c r="A848" s="15" t="s">
        <v>4083</v>
      </c>
      <c r="B848" s="16" t="s">
        <v>16</v>
      </c>
      <c r="C848" s="15">
        <v>8303601</v>
      </c>
      <c r="D848" s="16" t="s">
        <v>25</v>
      </c>
      <c r="E848" s="15" t="s">
        <v>4084</v>
      </c>
      <c r="F848" s="21" t="str">
        <f>HYPERLINK("https://psearch.kitsapgov.com/webappa/index.html?parcelID=2507002&amp;Theme=Imagery","2507002")</f>
        <v>2507002</v>
      </c>
      <c r="G848" s="16" t="s">
        <v>4085</v>
      </c>
      <c r="H848" s="17">
        <v>45447</v>
      </c>
      <c r="I848" s="18">
        <v>375000</v>
      </c>
      <c r="J848" s="19">
        <v>0</v>
      </c>
      <c r="L848" s="16" t="s">
        <v>20</v>
      </c>
      <c r="M848" s="16" t="s">
        <v>4086</v>
      </c>
      <c r="N848" s="16" t="s">
        <v>4087</v>
      </c>
    </row>
    <row r="849" spans="1:14" ht="20.100000000000001" customHeight="1" x14ac:dyDescent="0.25">
      <c r="A849" s="15" t="s">
        <v>4088</v>
      </c>
      <c r="B849" s="16" t="s">
        <v>130</v>
      </c>
      <c r="C849" s="15">
        <v>8401101</v>
      </c>
      <c r="D849" s="16" t="s">
        <v>305</v>
      </c>
      <c r="E849" s="15" t="s">
        <v>4089</v>
      </c>
      <c r="F849" s="21" t="str">
        <f>HYPERLINK("https://psearch.kitsapgov.com/webappa/index.html?parcelID=1238401&amp;Theme=Imagery","1238401")</f>
        <v>1238401</v>
      </c>
      <c r="G849" s="16" t="s">
        <v>4090</v>
      </c>
      <c r="H849" s="17">
        <v>45426</v>
      </c>
      <c r="I849" s="18">
        <v>11232</v>
      </c>
      <c r="J849" s="19">
        <v>0.7</v>
      </c>
      <c r="K849" s="16" t="s">
        <v>308</v>
      </c>
      <c r="L849" s="16" t="s">
        <v>232</v>
      </c>
      <c r="M849" s="16" t="s">
        <v>4091</v>
      </c>
      <c r="N849" s="16" t="s">
        <v>2519</v>
      </c>
    </row>
    <row r="850" spans="1:14" ht="20.100000000000001" customHeight="1" x14ac:dyDescent="0.25">
      <c r="A850" s="15" t="s">
        <v>4092</v>
      </c>
      <c r="B850" s="16" t="s">
        <v>24</v>
      </c>
      <c r="C850" s="15">
        <v>8401101</v>
      </c>
      <c r="D850" s="16" t="s">
        <v>305</v>
      </c>
      <c r="E850" s="15" t="s">
        <v>4093</v>
      </c>
      <c r="F850" s="21" t="str">
        <f>HYPERLINK("https://psearch.kitsapgov.com/webappa/index.html?parcelID=1242239&amp;Theme=Imagery","1242239")</f>
        <v>1242239</v>
      </c>
      <c r="G850" s="16" t="s">
        <v>4094</v>
      </c>
      <c r="H850" s="17">
        <v>45450</v>
      </c>
      <c r="I850" s="18">
        <v>355000</v>
      </c>
      <c r="J850" s="19">
        <v>0.11</v>
      </c>
      <c r="K850" s="16" t="s">
        <v>308</v>
      </c>
      <c r="L850" s="16" t="s">
        <v>38</v>
      </c>
      <c r="M850" s="16" t="s">
        <v>4095</v>
      </c>
      <c r="N850" s="16" t="s">
        <v>4096</v>
      </c>
    </row>
    <row r="851" spans="1:14" ht="20.100000000000001" customHeight="1" x14ac:dyDescent="0.25">
      <c r="A851" s="15" t="s">
        <v>4097</v>
      </c>
      <c r="B851" s="16" t="s">
        <v>159</v>
      </c>
      <c r="C851" s="15">
        <v>8100501</v>
      </c>
      <c r="D851" s="16" t="s">
        <v>63</v>
      </c>
      <c r="E851" s="15" t="s">
        <v>4098</v>
      </c>
      <c r="F851" s="21" t="str">
        <f>HYPERLINK("https://psearch.kitsapgov.com/webappa/index.html?parcelID=1139658&amp;Theme=Imagery","1139658")</f>
        <v>1139658</v>
      </c>
      <c r="G851" s="16" t="s">
        <v>4099</v>
      </c>
      <c r="H851" s="17">
        <v>45454</v>
      </c>
      <c r="I851" s="18">
        <v>120000</v>
      </c>
      <c r="J851" s="19">
        <v>0.1</v>
      </c>
      <c r="K851" s="16" t="s">
        <v>349</v>
      </c>
      <c r="L851" s="16" t="s">
        <v>20</v>
      </c>
      <c r="M851" s="16" t="s">
        <v>4100</v>
      </c>
      <c r="N851" s="16" t="s">
        <v>3156</v>
      </c>
    </row>
    <row r="852" spans="1:14" ht="20.100000000000001" customHeight="1" x14ac:dyDescent="0.25">
      <c r="A852" s="15" t="s">
        <v>4101</v>
      </c>
      <c r="B852" s="16" t="s">
        <v>105</v>
      </c>
      <c r="C852" s="15">
        <v>8402305</v>
      </c>
      <c r="D852" s="16" t="s">
        <v>452</v>
      </c>
      <c r="E852" s="15" t="s">
        <v>4102</v>
      </c>
      <c r="F852" s="21" t="str">
        <f>HYPERLINK("https://psearch.kitsapgov.com/webappa/index.html?parcelID=2453439&amp;Theme=Imagery","2453439")</f>
        <v>2453439</v>
      </c>
      <c r="G852" s="16" t="s">
        <v>4103</v>
      </c>
      <c r="H852" s="17">
        <v>45456</v>
      </c>
      <c r="I852" s="18">
        <v>380000</v>
      </c>
      <c r="J852" s="19">
        <v>2.16</v>
      </c>
      <c r="K852" s="16" t="s">
        <v>455</v>
      </c>
      <c r="L852" s="16" t="s">
        <v>20</v>
      </c>
      <c r="M852" s="16" t="s">
        <v>3791</v>
      </c>
      <c r="N852" s="16" t="s">
        <v>4104</v>
      </c>
    </row>
    <row r="853" spans="1:14" ht="20.100000000000001" customHeight="1" x14ac:dyDescent="0.25">
      <c r="A853" s="15" t="s">
        <v>4105</v>
      </c>
      <c r="B853" s="16" t="s">
        <v>285</v>
      </c>
      <c r="C853" s="15">
        <v>8100502</v>
      </c>
      <c r="D853" s="16" t="s">
        <v>142</v>
      </c>
      <c r="E853" s="15" t="s">
        <v>4106</v>
      </c>
      <c r="F853" s="21" t="str">
        <f>HYPERLINK("https://psearch.kitsapgov.com/webappa/index.html?parcelID=2579811&amp;Theme=Imagery","2579811")</f>
        <v>2579811</v>
      </c>
      <c r="G853" s="16" t="s">
        <v>4107</v>
      </c>
      <c r="H853" s="17">
        <v>45433</v>
      </c>
      <c r="I853" s="18">
        <v>1950000</v>
      </c>
      <c r="J853" s="19">
        <v>0.73</v>
      </c>
      <c r="K853" s="16" t="s">
        <v>4108</v>
      </c>
      <c r="L853" s="16" t="s">
        <v>38</v>
      </c>
      <c r="M853" s="16" t="s">
        <v>4109</v>
      </c>
      <c r="N853" s="16" t="s">
        <v>4110</v>
      </c>
    </row>
    <row r="854" spans="1:14" ht="20.100000000000001" customHeight="1" x14ac:dyDescent="0.25">
      <c r="A854" s="15" t="s">
        <v>4111</v>
      </c>
      <c r="B854" s="16" t="s">
        <v>159</v>
      </c>
      <c r="C854" s="15">
        <v>8400201</v>
      </c>
      <c r="D854" s="16" t="s">
        <v>496</v>
      </c>
      <c r="E854" s="15" t="s">
        <v>4112</v>
      </c>
      <c r="F854" s="21" t="str">
        <f>HYPERLINK("https://psearch.kitsapgov.com/webappa/index.html?parcelID=1550631&amp;Theme=Imagery","1550631")</f>
        <v>1550631</v>
      </c>
      <c r="G854" s="16" t="s">
        <v>4113</v>
      </c>
      <c r="H854" s="17">
        <v>45460</v>
      </c>
      <c r="I854" s="18">
        <v>1100000</v>
      </c>
      <c r="J854" s="19">
        <v>0.18</v>
      </c>
      <c r="K854" s="16" t="s">
        <v>499</v>
      </c>
      <c r="L854" s="16" t="s">
        <v>20</v>
      </c>
      <c r="M854" s="16" t="s">
        <v>3050</v>
      </c>
      <c r="N854" s="16" t="s">
        <v>4114</v>
      </c>
    </row>
    <row r="855" spans="1:14" ht="20.100000000000001" customHeight="1" x14ac:dyDescent="0.25">
      <c r="A855" s="15" t="s">
        <v>4115</v>
      </c>
      <c r="B855" s="16" t="s">
        <v>98</v>
      </c>
      <c r="C855" s="15">
        <v>8303660</v>
      </c>
      <c r="D855" s="16" t="s">
        <v>252</v>
      </c>
      <c r="E855" s="15" t="s">
        <v>4116</v>
      </c>
      <c r="F855" s="21" t="str">
        <f>HYPERLINK("https://psearch.kitsapgov.com/webappa/index.html?parcelID=1882232&amp;Theme=Imagery","1882232")</f>
        <v>1882232</v>
      </c>
      <c r="G855" s="16" t="s">
        <v>4117</v>
      </c>
      <c r="H855" s="17">
        <v>45460</v>
      </c>
      <c r="I855" s="18">
        <v>130000</v>
      </c>
      <c r="J855" s="19">
        <v>0</v>
      </c>
      <c r="L855" s="16" t="s">
        <v>944</v>
      </c>
      <c r="M855" s="16" t="s">
        <v>4118</v>
      </c>
      <c r="N855" s="16" t="s">
        <v>4119</v>
      </c>
    </row>
    <row r="856" spans="1:14" ht="20.100000000000001" customHeight="1" x14ac:dyDescent="0.25">
      <c r="A856" s="15" t="s">
        <v>4120</v>
      </c>
      <c r="B856" s="16" t="s">
        <v>533</v>
      </c>
      <c r="C856" s="15">
        <v>8400203</v>
      </c>
      <c r="D856" s="16" t="s">
        <v>353</v>
      </c>
      <c r="E856" s="15" t="s">
        <v>1302</v>
      </c>
      <c r="F856" s="21" t="str">
        <f>HYPERLINK("https://psearch.kitsapgov.com/webappa/index.html?parcelID=1336080&amp;Theme=Imagery","1336080")</f>
        <v>1336080</v>
      </c>
      <c r="G856" s="16" t="s">
        <v>1303</v>
      </c>
      <c r="H856" s="17">
        <v>45462</v>
      </c>
      <c r="I856" s="18">
        <v>2300000</v>
      </c>
      <c r="J856" s="19">
        <v>0.57999999999999996</v>
      </c>
      <c r="K856" s="16" t="s">
        <v>356</v>
      </c>
      <c r="L856" s="16" t="s">
        <v>38</v>
      </c>
      <c r="M856" s="16" t="s">
        <v>1305</v>
      </c>
      <c r="N856" s="16" t="s">
        <v>4121</v>
      </c>
    </row>
    <row r="857" spans="1:14" ht="20.100000000000001" customHeight="1" x14ac:dyDescent="0.25">
      <c r="A857" s="15" t="s">
        <v>4122</v>
      </c>
      <c r="B857" s="16" t="s">
        <v>42</v>
      </c>
      <c r="C857" s="15">
        <v>8402307</v>
      </c>
      <c r="D857" s="16" t="s">
        <v>131</v>
      </c>
      <c r="E857" s="15" t="s">
        <v>4123</v>
      </c>
      <c r="F857" s="21" t="str">
        <f>HYPERLINK("https://psearch.kitsapgov.com/webappa/index.html?parcelID=2360907&amp;Theme=Imagery","2360907")</f>
        <v>2360907</v>
      </c>
      <c r="G857" s="16" t="s">
        <v>4124</v>
      </c>
      <c r="H857" s="17">
        <v>45464</v>
      </c>
      <c r="I857" s="18">
        <v>1000000</v>
      </c>
      <c r="J857" s="19">
        <v>0.68</v>
      </c>
      <c r="K857" s="16" t="s">
        <v>37</v>
      </c>
      <c r="L857" s="16" t="s">
        <v>20</v>
      </c>
      <c r="M857" s="16" t="s">
        <v>4125</v>
      </c>
      <c r="N857" s="16" t="s">
        <v>4126</v>
      </c>
    </row>
    <row r="858" spans="1:14" ht="20.100000000000001" customHeight="1" x14ac:dyDescent="0.25">
      <c r="A858" s="15" t="s">
        <v>4127</v>
      </c>
      <c r="B858" s="16" t="s">
        <v>512</v>
      </c>
      <c r="C858" s="15">
        <v>8100501</v>
      </c>
      <c r="D858" s="16" t="s">
        <v>63</v>
      </c>
      <c r="E858" s="15" t="s">
        <v>4128</v>
      </c>
      <c r="F858" s="21" t="str">
        <f>HYPERLINK("https://psearch.kitsapgov.com/webappa/index.html?parcelID=1428424&amp;Theme=Imagery","1428424")</f>
        <v>1428424</v>
      </c>
      <c r="G858" s="16" t="s">
        <v>4129</v>
      </c>
      <c r="H858" s="17">
        <v>45468</v>
      </c>
      <c r="I858" s="18">
        <v>3250000</v>
      </c>
      <c r="J858" s="19">
        <v>0.32</v>
      </c>
      <c r="K858" s="16" t="s">
        <v>773</v>
      </c>
      <c r="L858" s="16" t="s">
        <v>20</v>
      </c>
      <c r="M858" s="16" t="s">
        <v>4130</v>
      </c>
      <c r="N858" s="16" t="s">
        <v>4131</v>
      </c>
    </row>
    <row r="859" spans="1:14" ht="20.100000000000001" customHeight="1" x14ac:dyDescent="0.25">
      <c r="A859" s="15" t="s">
        <v>4132</v>
      </c>
      <c r="B859" s="16" t="s">
        <v>48</v>
      </c>
      <c r="C859" s="15">
        <v>9402390</v>
      </c>
      <c r="D859" s="16" t="s">
        <v>173</v>
      </c>
      <c r="E859" s="15" t="s">
        <v>4133</v>
      </c>
      <c r="F859" s="21" t="str">
        <f>HYPERLINK("https://psearch.kitsapgov.com/webappa/index.html?parcelID=1981299&amp;Theme=Imagery","1981299")</f>
        <v>1981299</v>
      </c>
      <c r="G859" s="16" t="s">
        <v>4134</v>
      </c>
      <c r="H859" s="17">
        <v>45469</v>
      </c>
      <c r="I859" s="18">
        <v>16000000</v>
      </c>
      <c r="J859" s="19">
        <v>3.36</v>
      </c>
      <c r="K859" s="16" t="s">
        <v>912</v>
      </c>
      <c r="L859" s="16" t="s">
        <v>38</v>
      </c>
      <c r="M859" s="16" t="s">
        <v>4135</v>
      </c>
      <c r="N859" s="16" t="s">
        <v>4136</v>
      </c>
    </row>
    <row r="860" spans="1:14" ht="20.100000000000001" customHeight="1" x14ac:dyDescent="0.25">
      <c r="A860" s="15" t="s">
        <v>4137</v>
      </c>
      <c r="B860" s="16" t="s">
        <v>185</v>
      </c>
      <c r="C860" s="15">
        <v>9100541</v>
      </c>
      <c r="D860" s="16" t="s">
        <v>186</v>
      </c>
      <c r="E860" s="15" t="s">
        <v>4138</v>
      </c>
      <c r="F860" s="21" t="str">
        <f>HYPERLINK("https://psearch.kitsapgov.com/webappa/index.html?parcelID=1437235&amp;Theme=Imagery","1437235")</f>
        <v>1437235</v>
      </c>
      <c r="G860" s="16" t="s">
        <v>4139</v>
      </c>
      <c r="H860" s="17">
        <v>45471</v>
      </c>
      <c r="I860" s="18">
        <v>550000</v>
      </c>
      <c r="J860" s="19">
        <v>0.12</v>
      </c>
      <c r="K860" s="16" t="s">
        <v>377</v>
      </c>
      <c r="L860" s="16" t="s">
        <v>20</v>
      </c>
      <c r="M860" s="16" t="s">
        <v>4140</v>
      </c>
      <c r="N860" s="16" t="s">
        <v>1567</v>
      </c>
    </row>
    <row r="861" spans="1:14" ht="20.100000000000001" customHeight="1" x14ac:dyDescent="0.25">
      <c r="A861" s="15" t="s">
        <v>4141</v>
      </c>
      <c r="B861" s="16" t="s">
        <v>98</v>
      </c>
      <c r="C861" s="15">
        <v>8400206</v>
      </c>
      <c r="D861" s="16" t="s">
        <v>99</v>
      </c>
      <c r="E861" s="15" t="s">
        <v>4142</v>
      </c>
      <c r="F861" s="21" t="str">
        <f>HYPERLINK("https://psearch.kitsapgov.com/webappa/index.html?parcelID=2071348&amp;Theme=Imagery","2071348")</f>
        <v>2071348</v>
      </c>
      <c r="G861" s="16" t="s">
        <v>3508</v>
      </c>
      <c r="H861" s="17">
        <v>45474</v>
      </c>
      <c r="I861" s="18">
        <v>67000</v>
      </c>
      <c r="J861" s="19">
        <v>0</v>
      </c>
      <c r="L861" s="16" t="s">
        <v>20</v>
      </c>
      <c r="M861" s="16" t="s">
        <v>4143</v>
      </c>
      <c r="N861" s="16" t="s">
        <v>4144</v>
      </c>
    </row>
    <row r="862" spans="1:14" ht="20.100000000000001" customHeight="1" x14ac:dyDescent="0.25">
      <c r="A862" s="15" t="s">
        <v>4145</v>
      </c>
      <c r="B862" s="16" t="s">
        <v>159</v>
      </c>
      <c r="C862" s="15">
        <v>8401101</v>
      </c>
      <c r="D862" s="16" t="s">
        <v>305</v>
      </c>
      <c r="E862" s="15" t="s">
        <v>2076</v>
      </c>
      <c r="F862" s="21" t="str">
        <f>HYPERLINK("https://psearch.kitsapgov.com/webappa/index.html?parcelID=2046043&amp;Theme=Imagery","2046043")</f>
        <v>2046043</v>
      </c>
      <c r="G862" s="16" t="s">
        <v>2077</v>
      </c>
      <c r="H862" s="17">
        <v>45476</v>
      </c>
      <c r="I862" s="18">
        <v>6882000</v>
      </c>
      <c r="J862" s="19">
        <v>3.63</v>
      </c>
      <c r="K862" s="16" t="s">
        <v>308</v>
      </c>
      <c r="L862" s="16" t="s">
        <v>20</v>
      </c>
      <c r="M862" s="16" t="s">
        <v>2080</v>
      </c>
      <c r="N862" s="16" t="s">
        <v>4146</v>
      </c>
    </row>
    <row r="863" spans="1:14" ht="20.100000000000001" customHeight="1" x14ac:dyDescent="0.25">
      <c r="A863" s="15" t="s">
        <v>4147</v>
      </c>
      <c r="B863" s="16" t="s">
        <v>78</v>
      </c>
      <c r="C863" s="15">
        <v>9401120</v>
      </c>
      <c r="D863" s="16" t="s">
        <v>575</v>
      </c>
      <c r="E863" s="15" t="s">
        <v>576</v>
      </c>
      <c r="F863" s="21" t="str">
        <f>HYPERLINK("https://psearch.kitsapgov.com/webappa/index.html?parcelID=1240696&amp;Theme=Imagery","1240696")</f>
        <v>1240696</v>
      </c>
      <c r="G863" s="16" t="s">
        <v>577</v>
      </c>
      <c r="H863" s="17">
        <v>45475</v>
      </c>
      <c r="I863" s="18">
        <v>489900</v>
      </c>
      <c r="J863" s="19">
        <v>1.97</v>
      </c>
      <c r="K863" s="16" t="s">
        <v>37</v>
      </c>
      <c r="L863" s="16" t="s">
        <v>20</v>
      </c>
      <c r="M863" s="16" t="s">
        <v>4148</v>
      </c>
      <c r="N863" s="16" t="s">
        <v>4149</v>
      </c>
    </row>
    <row r="864" spans="1:14" ht="20.100000000000001" customHeight="1" x14ac:dyDescent="0.25">
      <c r="A864" s="15" t="s">
        <v>4150</v>
      </c>
      <c r="B864" s="16" t="s">
        <v>159</v>
      </c>
      <c r="C864" s="15">
        <v>8303601</v>
      </c>
      <c r="D864" s="16" t="s">
        <v>25</v>
      </c>
      <c r="E864" s="15" t="s">
        <v>4151</v>
      </c>
      <c r="F864" s="21" t="str">
        <f>HYPERLINK("https://psearch.kitsapgov.com/webappa/index.html?parcelID=1305804&amp;Theme=Imagery","1305804")</f>
        <v>1305804</v>
      </c>
      <c r="G864" s="16" t="s">
        <v>4152</v>
      </c>
      <c r="H864" s="17">
        <v>45484</v>
      </c>
      <c r="I864" s="18">
        <v>1300000</v>
      </c>
      <c r="J864" s="19">
        <v>0.14000000000000001</v>
      </c>
      <c r="K864" s="16" t="s">
        <v>421</v>
      </c>
      <c r="L864" s="16" t="s">
        <v>20</v>
      </c>
      <c r="M864" s="16" t="s">
        <v>4153</v>
      </c>
      <c r="N864" s="16" t="s">
        <v>4154</v>
      </c>
    </row>
    <row r="865" spans="1:14" ht="20.100000000000001" customHeight="1" x14ac:dyDescent="0.25">
      <c r="A865" s="15" t="s">
        <v>4155</v>
      </c>
      <c r="B865" s="16" t="s">
        <v>209</v>
      </c>
      <c r="C865" s="15">
        <v>8100501</v>
      </c>
      <c r="D865" s="16" t="s">
        <v>63</v>
      </c>
      <c r="E865" s="15" t="s">
        <v>4156</v>
      </c>
      <c r="F865" s="21" t="str">
        <f>HYPERLINK("https://psearch.kitsapgov.com/webappa/index.html?parcelID=1426659&amp;Theme=Imagery","1426659")</f>
        <v>1426659</v>
      </c>
      <c r="G865" s="16" t="s">
        <v>4157</v>
      </c>
      <c r="H865" s="17">
        <v>45483</v>
      </c>
      <c r="I865" s="18">
        <v>725000</v>
      </c>
      <c r="J865" s="19">
        <v>7.0000000000000007E-2</v>
      </c>
      <c r="K865" s="16" t="s">
        <v>93</v>
      </c>
      <c r="L865" s="16" t="s">
        <v>20</v>
      </c>
      <c r="M865" s="16" t="s">
        <v>4158</v>
      </c>
      <c r="N865" s="16" t="s">
        <v>4159</v>
      </c>
    </row>
    <row r="866" spans="1:14" ht="20.100000000000001" customHeight="1" x14ac:dyDescent="0.25">
      <c r="A866" s="15" t="s">
        <v>4160</v>
      </c>
      <c r="B866" s="16" t="s">
        <v>262</v>
      </c>
      <c r="C866" s="15">
        <v>8402305</v>
      </c>
      <c r="D866" s="16" t="s">
        <v>452</v>
      </c>
      <c r="E866" s="15" t="s">
        <v>4161</v>
      </c>
      <c r="F866" s="21" t="str">
        <f>HYPERLINK("https://psearch.kitsapgov.com/webappa/index.html?parcelID=1052398&amp;Theme=Imagery","1052398")</f>
        <v>1052398</v>
      </c>
      <c r="G866" s="16" t="s">
        <v>4162</v>
      </c>
      <c r="H866" s="17">
        <v>45484</v>
      </c>
      <c r="I866" s="18">
        <v>247500</v>
      </c>
      <c r="J866" s="19">
        <v>4.88</v>
      </c>
      <c r="K866" s="16" t="s">
        <v>37</v>
      </c>
      <c r="L866" s="16" t="s">
        <v>38</v>
      </c>
      <c r="M866" s="16" t="s">
        <v>4163</v>
      </c>
      <c r="N866" s="16" t="s">
        <v>4164</v>
      </c>
    </row>
    <row r="867" spans="1:14" ht="20.100000000000001" customHeight="1" x14ac:dyDescent="0.25">
      <c r="A867" s="15" t="s">
        <v>4165</v>
      </c>
      <c r="B867" s="16" t="s">
        <v>98</v>
      </c>
      <c r="C867" s="15">
        <v>8400206</v>
      </c>
      <c r="D867" s="16" t="s">
        <v>99</v>
      </c>
      <c r="E867" s="15" t="s">
        <v>4166</v>
      </c>
      <c r="F867" s="21" t="str">
        <f>HYPERLINK("https://psearch.kitsapgov.com/webappa/index.html?parcelID=2070944&amp;Theme=Imagery","2070944")</f>
        <v>2070944</v>
      </c>
      <c r="G867" s="16" t="s">
        <v>2569</v>
      </c>
      <c r="H867" s="17">
        <v>45499</v>
      </c>
      <c r="I867" s="18">
        <v>85600</v>
      </c>
      <c r="J867" s="19">
        <v>0</v>
      </c>
      <c r="L867" s="16" t="s">
        <v>20</v>
      </c>
      <c r="M867" s="16" t="s">
        <v>4167</v>
      </c>
      <c r="N867" s="16" t="s">
        <v>4168</v>
      </c>
    </row>
    <row r="868" spans="1:14" ht="20.100000000000001" customHeight="1" x14ac:dyDescent="0.25">
      <c r="A868" s="15" t="s">
        <v>4169</v>
      </c>
      <c r="B868" s="16" t="s">
        <v>70</v>
      </c>
      <c r="C868" s="15">
        <v>8400302</v>
      </c>
      <c r="D868" s="16" t="s">
        <v>397</v>
      </c>
      <c r="E868" s="15" t="s">
        <v>4170</v>
      </c>
      <c r="F868" s="21" t="str">
        <f>HYPERLINK("https://psearch.kitsapgov.com/webappa/index.html?parcelID=2585628&amp;Theme=Imagery","2585628")</f>
        <v>2585628</v>
      </c>
      <c r="G868" s="16" t="s">
        <v>4171</v>
      </c>
      <c r="H868" s="17">
        <v>45498</v>
      </c>
      <c r="I868" s="18">
        <v>600000</v>
      </c>
      <c r="J868" s="19">
        <v>1.1100000000000001</v>
      </c>
      <c r="K868" s="16" t="s">
        <v>343</v>
      </c>
      <c r="L868" s="16" t="s">
        <v>20</v>
      </c>
      <c r="M868" s="16" t="s">
        <v>4172</v>
      </c>
      <c r="N868" s="16" t="s">
        <v>4173</v>
      </c>
    </row>
    <row r="869" spans="1:14" ht="20.100000000000001" customHeight="1" x14ac:dyDescent="0.25">
      <c r="A869" s="15" t="s">
        <v>4174</v>
      </c>
      <c r="B869" s="16" t="s">
        <v>70</v>
      </c>
      <c r="C869" s="15">
        <v>8402408</v>
      </c>
      <c r="D869" s="16" t="s">
        <v>160</v>
      </c>
      <c r="E869" s="15" t="s">
        <v>4175</v>
      </c>
      <c r="F869" s="21" t="str">
        <f>HYPERLINK("https://psearch.kitsapgov.com/webappa/index.html?parcelID=1720739&amp;Theme=Imagery","1720739")</f>
        <v>1720739</v>
      </c>
      <c r="G869" s="16" t="s">
        <v>4176</v>
      </c>
      <c r="H869" s="17">
        <v>45496</v>
      </c>
      <c r="I869" s="18">
        <v>1200000</v>
      </c>
      <c r="J869" s="19">
        <v>2.42</v>
      </c>
      <c r="K869" s="16" t="s">
        <v>37</v>
      </c>
      <c r="L869" s="16" t="s">
        <v>20</v>
      </c>
      <c r="M869" s="16" t="s">
        <v>4177</v>
      </c>
      <c r="N869" s="16" t="s">
        <v>4178</v>
      </c>
    </row>
    <row r="870" spans="1:14" ht="20.100000000000001" customHeight="1" x14ac:dyDescent="0.25">
      <c r="A870" s="15" t="s">
        <v>4179</v>
      </c>
      <c r="B870" s="16" t="s">
        <v>70</v>
      </c>
      <c r="C870" s="15">
        <v>8400302</v>
      </c>
      <c r="D870" s="16" t="s">
        <v>397</v>
      </c>
      <c r="E870" s="15" t="s">
        <v>4180</v>
      </c>
      <c r="F870" s="21" t="str">
        <f>HYPERLINK("https://psearch.kitsapgov.com/webappa/index.html?parcelID=2365351&amp;Theme=Imagery","2365351")</f>
        <v>2365351</v>
      </c>
      <c r="G870" s="16" t="s">
        <v>4181</v>
      </c>
      <c r="H870" s="17">
        <v>45502</v>
      </c>
      <c r="I870" s="18">
        <v>475000</v>
      </c>
      <c r="J870" s="19">
        <v>0.87</v>
      </c>
      <c r="K870" s="16" t="s">
        <v>343</v>
      </c>
      <c r="L870" s="16" t="s">
        <v>20</v>
      </c>
      <c r="M870" s="16" t="s">
        <v>4182</v>
      </c>
      <c r="N870" s="16" t="s">
        <v>4183</v>
      </c>
    </row>
    <row r="871" spans="1:14" ht="20.100000000000001" customHeight="1" x14ac:dyDescent="0.25">
      <c r="A871" s="15" t="s">
        <v>4184</v>
      </c>
      <c r="B871" s="16" t="s">
        <v>48</v>
      </c>
      <c r="C871" s="15">
        <v>8402307</v>
      </c>
      <c r="D871" s="16" t="s">
        <v>131</v>
      </c>
      <c r="E871" s="15" t="s">
        <v>4185</v>
      </c>
      <c r="F871" s="21" t="str">
        <f>HYPERLINK("https://psearch.kitsapgov.com/webappa/index.html?parcelID=2695849&amp;Theme=Imagery","2695849")</f>
        <v>2695849</v>
      </c>
      <c r="G871" s="16" t="s">
        <v>4186</v>
      </c>
      <c r="H871" s="17">
        <v>45448</v>
      </c>
      <c r="I871" s="18">
        <v>138863</v>
      </c>
      <c r="J871" s="19">
        <v>3.95</v>
      </c>
      <c r="K871" s="16" t="s">
        <v>515</v>
      </c>
      <c r="L871" s="16" t="s">
        <v>232</v>
      </c>
      <c r="M871" s="16" t="s">
        <v>4187</v>
      </c>
      <c r="N871" s="16" t="s">
        <v>4188</v>
      </c>
    </row>
    <row r="872" spans="1:14" ht="20.100000000000001" customHeight="1" x14ac:dyDescent="0.25">
      <c r="A872" s="15" t="s">
        <v>4189</v>
      </c>
      <c r="B872" s="16" t="s">
        <v>105</v>
      </c>
      <c r="C872" s="15">
        <v>8402307</v>
      </c>
      <c r="D872" s="16" t="s">
        <v>131</v>
      </c>
      <c r="E872" s="15" t="s">
        <v>4190</v>
      </c>
      <c r="F872" s="21" t="str">
        <f>HYPERLINK("https://psearch.kitsapgov.com/webappa/index.html?parcelID=1730019&amp;Theme=Imagery","1730019")</f>
        <v>1730019</v>
      </c>
      <c r="G872" s="16" t="s">
        <v>4191</v>
      </c>
      <c r="H872" s="17">
        <v>45497</v>
      </c>
      <c r="I872" s="18">
        <v>259000</v>
      </c>
      <c r="J872" s="19">
        <v>4.24</v>
      </c>
      <c r="K872" s="16" t="s">
        <v>515</v>
      </c>
      <c r="L872" s="16" t="s">
        <v>20</v>
      </c>
      <c r="M872" s="16" t="s">
        <v>4192</v>
      </c>
      <c r="N872" s="16" t="s">
        <v>4193</v>
      </c>
    </row>
    <row r="873" spans="1:14" ht="20.100000000000001" customHeight="1" x14ac:dyDescent="0.25">
      <c r="A873" s="15" t="s">
        <v>4194</v>
      </c>
      <c r="B873" s="16" t="s">
        <v>172</v>
      </c>
      <c r="C873" s="15">
        <v>9100541</v>
      </c>
      <c r="D873" s="16" t="s">
        <v>186</v>
      </c>
      <c r="E873" s="15" t="s">
        <v>4195</v>
      </c>
      <c r="F873" s="21" t="str">
        <f>HYPERLINK("https://psearch.kitsapgov.com/webappa/index.html?parcelID=1148493&amp;Theme=Imagery","1148493")</f>
        <v>1148493</v>
      </c>
      <c r="G873" s="16" t="s">
        <v>4196</v>
      </c>
      <c r="H873" s="17">
        <v>45512</v>
      </c>
      <c r="I873" s="18">
        <v>2750000</v>
      </c>
      <c r="J873" s="19">
        <v>0.78</v>
      </c>
      <c r="K873" s="16" t="s">
        <v>377</v>
      </c>
      <c r="L873" s="16" t="s">
        <v>1594</v>
      </c>
      <c r="M873" s="16" t="s">
        <v>4197</v>
      </c>
      <c r="N873" s="16" t="s">
        <v>4198</v>
      </c>
    </row>
    <row r="874" spans="1:14" ht="20.100000000000001" customHeight="1" x14ac:dyDescent="0.25">
      <c r="A874" s="15" t="s">
        <v>4199</v>
      </c>
      <c r="B874" s="16" t="s">
        <v>62</v>
      </c>
      <c r="C874" s="15">
        <v>8401508</v>
      </c>
      <c r="D874" s="16" t="s">
        <v>1341</v>
      </c>
      <c r="E874" s="15" t="s">
        <v>4200</v>
      </c>
      <c r="F874" s="21" t="str">
        <f>HYPERLINK("https://psearch.kitsapgov.com/webappa/index.html?parcelID=2077832&amp;Theme=Imagery","2077832")</f>
        <v>2077832</v>
      </c>
      <c r="G874" s="16" t="s">
        <v>4201</v>
      </c>
      <c r="H874" s="17">
        <v>45512</v>
      </c>
      <c r="I874" s="18">
        <v>1400000</v>
      </c>
      <c r="J874" s="19">
        <v>0.92</v>
      </c>
      <c r="K874" s="16" t="s">
        <v>37</v>
      </c>
      <c r="L874" s="16" t="s">
        <v>38</v>
      </c>
      <c r="M874" s="16" t="s">
        <v>4202</v>
      </c>
      <c r="N874" s="16" t="s">
        <v>4203</v>
      </c>
    </row>
    <row r="875" spans="1:14" ht="20.100000000000001" customHeight="1" x14ac:dyDescent="0.25">
      <c r="A875" s="15" t="s">
        <v>4204</v>
      </c>
      <c r="B875" s="16" t="s">
        <v>98</v>
      </c>
      <c r="C875" s="15">
        <v>8400206</v>
      </c>
      <c r="D875" s="16" t="s">
        <v>99</v>
      </c>
      <c r="E875" s="15" t="s">
        <v>4205</v>
      </c>
      <c r="F875" s="21" t="str">
        <f>HYPERLINK("https://psearch.kitsapgov.com/webappa/index.html?parcelID=2071801&amp;Theme=Imagery","2071801")</f>
        <v>2071801</v>
      </c>
      <c r="G875" s="16" t="s">
        <v>248</v>
      </c>
      <c r="H875" s="17">
        <v>45513</v>
      </c>
      <c r="I875" s="18">
        <v>36000</v>
      </c>
      <c r="J875" s="19">
        <v>0</v>
      </c>
      <c r="L875" s="16" t="s">
        <v>20</v>
      </c>
      <c r="M875" s="16" t="s">
        <v>4206</v>
      </c>
      <c r="N875" s="16" t="s">
        <v>4207</v>
      </c>
    </row>
    <row r="876" spans="1:14" ht="20.100000000000001" customHeight="1" x14ac:dyDescent="0.25">
      <c r="A876" s="15" t="s">
        <v>4208</v>
      </c>
      <c r="B876" s="16" t="s">
        <v>98</v>
      </c>
      <c r="C876" s="15">
        <v>8303660</v>
      </c>
      <c r="D876" s="16" t="s">
        <v>252</v>
      </c>
      <c r="E876" s="15" t="s">
        <v>4209</v>
      </c>
      <c r="F876" s="21" t="str">
        <f>HYPERLINK("https://psearch.kitsapgov.com/webappa/index.html?parcelID=1883958&amp;Theme=Imagery","1883958")</f>
        <v>1883958</v>
      </c>
      <c r="G876" s="16" t="s">
        <v>4210</v>
      </c>
      <c r="H876" s="17">
        <v>45513</v>
      </c>
      <c r="I876" s="18">
        <v>72000</v>
      </c>
      <c r="J876" s="19">
        <v>0</v>
      </c>
      <c r="L876" s="16" t="s">
        <v>944</v>
      </c>
      <c r="M876" s="16" t="s">
        <v>4211</v>
      </c>
      <c r="N876" s="16" t="s">
        <v>4212</v>
      </c>
    </row>
    <row r="877" spans="1:14" ht="20.100000000000001" customHeight="1" x14ac:dyDescent="0.25">
      <c r="A877" s="15" t="s">
        <v>4213</v>
      </c>
      <c r="B877" s="16" t="s">
        <v>159</v>
      </c>
      <c r="C877" s="15">
        <v>8401508</v>
      </c>
      <c r="D877" s="16" t="s">
        <v>1341</v>
      </c>
      <c r="E877" s="15" t="s">
        <v>1776</v>
      </c>
      <c r="F877" s="21" t="str">
        <f>HYPERLINK("https://psearch.kitsapgov.com/webappa/index.html?parcelID=2261139&amp;Theme=Imagery","2261139")</f>
        <v>2261139</v>
      </c>
      <c r="G877" s="16" t="s">
        <v>1777</v>
      </c>
      <c r="H877" s="17">
        <v>45518</v>
      </c>
      <c r="I877" s="18">
        <v>1400000</v>
      </c>
      <c r="J877" s="19">
        <v>0.88</v>
      </c>
      <c r="K877" s="16" t="s">
        <v>37</v>
      </c>
      <c r="L877" s="16" t="s">
        <v>20</v>
      </c>
      <c r="M877" s="16" t="s">
        <v>1779</v>
      </c>
      <c r="N877" s="16" t="s">
        <v>4214</v>
      </c>
    </row>
    <row r="878" spans="1:14" ht="20.100000000000001" customHeight="1" x14ac:dyDescent="0.25">
      <c r="A878" s="15" t="s">
        <v>4215</v>
      </c>
      <c r="B878" s="16" t="s">
        <v>78</v>
      </c>
      <c r="C878" s="15">
        <v>9401591</v>
      </c>
      <c r="D878" s="16" t="s">
        <v>1297</v>
      </c>
      <c r="E878" s="15" t="s">
        <v>2353</v>
      </c>
      <c r="F878" s="21" t="str">
        <f>HYPERLINK("https://psearch.kitsapgov.com/webappa/index.html?parcelID=1256445&amp;Theme=Imagery","1256445")</f>
        <v>1256445</v>
      </c>
      <c r="G878" s="16" t="s">
        <v>2354</v>
      </c>
      <c r="H878" s="17">
        <v>45516</v>
      </c>
      <c r="I878" s="18">
        <v>353038</v>
      </c>
      <c r="J878" s="19">
        <v>3.86</v>
      </c>
      <c r="K878" s="16" t="s">
        <v>37</v>
      </c>
      <c r="L878" s="16" t="s">
        <v>1501</v>
      </c>
      <c r="M878" s="16" t="s">
        <v>4216</v>
      </c>
      <c r="N878" s="16" t="s">
        <v>4217</v>
      </c>
    </row>
    <row r="879" spans="1:14" ht="20.100000000000001" customHeight="1" x14ac:dyDescent="0.25">
      <c r="A879" s="15" t="s">
        <v>4218</v>
      </c>
      <c r="B879" s="16" t="s">
        <v>105</v>
      </c>
      <c r="C879" s="15">
        <v>8401104</v>
      </c>
      <c r="D879" s="16" t="s">
        <v>241</v>
      </c>
      <c r="E879" s="15" t="s">
        <v>4219</v>
      </c>
      <c r="F879" s="21" t="str">
        <f>HYPERLINK("https://psearch.kitsapgov.com/webappa/index.html?parcelID=2547149&amp;Theme=Imagery","2547149")</f>
        <v>2547149</v>
      </c>
      <c r="G879" s="16" t="s">
        <v>4220</v>
      </c>
      <c r="H879" s="17">
        <v>45490</v>
      </c>
      <c r="I879" s="18">
        <v>1500</v>
      </c>
      <c r="J879" s="19">
        <v>3.55</v>
      </c>
      <c r="K879" s="16" t="s">
        <v>37</v>
      </c>
      <c r="L879" s="16" t="s">
        <v>631</v>
      </c>
      <c r="M879" s="16" t="s">
        <v>4221</v>
      </c>
      <c r="N879" s="16" t="s">
        <v>907</v>
      </c>
    </row>
    <row r="880" spans="1:14" ht="20.100000000000001" customHeight="1" x14ac:dyDescent="0.25">
      <c r="A880" s="15" t="s">
        <v>4222</v>
      </c>
      <c r="B880" s="16" t="s">
        <v>105</v>
      </c>
      <c r="C880" s="15">
        <v>8401104</v>
      </c>
      <c r="D880" s="16" t="s">
        <v>241</v>
      </c>
      <c r="E880" s="15" t="s">
        <v>4219</v>
      </c>
      <c r="F880" s="21" t="str">
        <f>HYPERLINK("https://psearch.kitsapgov.com/webappa/index.html?parcelID=2547149&amp;Theme=Imagery","2547149")</f>
        <v>2547149</v>
      </c>
      <c r="G880" s="16" t="s">
        <v>4220</v>
      </c>
      <c r="H880" s="17">
        <v>45518</v>
      </c>
      <c r="I880" s="18">
        <v>4000</v>
      </c>
      <c r="J880" s="19">
        <v>3.55</v>
      </c>
      <c r="K880" s="16" t="s">
        <v>37</v>
      </c>
      <c r="L880" s="16" t="s">
        <v>94</v>
      </c>
      <c r="M880" s="16" t="s">
        <v>4223</v>
      </c>
      <c r="N880" s="16" t="s">
        <v>2519</v>
      </c>
    </row>
    <row r="881" spans="1:14" ht="20.100000000000001" customHeight="1" x14ac:dyDescent="0.25">
      <c r="A881" s="15" t="s">
        <v>4224</v>
      </c>
      <c r="B881" s="16" t="s">
        <v>98</v>
      </c>
      <c r="C881" s="15">
        <v>8400206</v>
      </c>
      <c r="D881" s="16" t="s">
        <v>99</v>
      </c>
      <c r="E881" s="15" t="s">
        <v>4225</v>
      </c>
      <c r="F881" s="21" t="str">
        <f>HYPERLINK("https://psearch.kitsapgov.com/webappa/index.html?parcelID=2071454&amp;Theme=Imagery","2071454")</f>
        <v>2071454</v>
      </c>
      <c r="G881" s="16" t="s">
        <v>337</v>
      </c>
      <c r="H881" s="17">
        <v>45525</v>
      </c>
      <c r="I881" s="18">
        <v>70000</v>
      </c>
      <c r="J881" s="19">
        <v>0</v>
      </c>
      <c r="L881" s="16" t="s">
        <v>20</v>
      </c>
      <c r="M881" s="16" t="s">
        <v>4226</v>
      </c>
      <c r="N881" s="16" t="s">
        <v>4227</v>
      </c>
    </row>
    <row r="882" spans="1:14" ht="20.100000000000001" customHeight="1" x14ac:dyDescent="0.25">
      <c r="A882" s="15" t="s">
        <v>4228</v>
      </c>
      <c r="B882" s="16" t="s">
        <v>42</v>
      </c>
      <c r="C882" s="15">
        <v>9401591</v>
      </c>
      <c r="D882" s="16" t="s">
        <v>1297</v>
      </c>
      <c r="E882" s="15" t="s">
        <v>4229</v>
      </c>
      <c r="F882" s="21" t="str">
        <f>HYPERLINK("https://psearch.kitsapgov.com/webappa/index.html?parcelID=2113728&amp;Theme=Imagery","2113728")</f>
        <v>2113728</v>
      </c>
      <c r="G882" s="16" t="s">
        <v>4230</v>
      </c>
      <c r="H882" s="17">
        <v>45530</v>
      </c>
      <c r="I882" s="18">
        <v>1250000</v>
      </c>
      <c r="J882" s="19">
        <v>0.76</v>
      </c>
      <c r="K882" s="16" t="s">
        <v>4231</v>
      </c>
      <c r="L882" s="16" t="s">
        <v>20</v>
      </c>
      <c r="M882" s="16" t="s">
        <v>4232</v>
      </c>
      <c r="N882" s="16" t="s">
        <v>4233</v>
      </c>
    </row>
    <row r="883" spans="1:14" ht="20.100000000000001" customHeight="1" x14ac:dyDescent="0.25">
      <c r="A883" s="15" t="s">
        <v>4234</v>
      </c>
      <c r="B883" s="16" t="s">
        <v>105</v>
      </c>
      <c r="C883" s="15">
        <v>8402408</v>
      </c>
      <c r="D883" s="16" t="s">
        <v>160</v>
      </c>
      <c r="E883" s="15" t="s">
        <v>4235</v>
      </c>
      <c r="F883" s="21" t="str">
        <f>HYPERLINK("https://psearch.kitsapgov.com/webappa/index.html?parcelID=1915685&amp;Theme=Imagery","1915685")</f>
        <v>1915685</v>
      </c>
      <c r="G883" s="16" t="s">
        <v>4236</v>
      </c>
      <c r="H883" s="17">
        <v>45531</v>
      </c>
      <c r="I883" s="18">
        <v>70000</v>
      </c>
      <c r="J883" s="19">
        <v>0.4</v>
      </c>
      <c r="K883" s="16" t="s">
        <v>37</v>
      </c>
      <c r="L883" s="16" t="s">
        <v>20</v>
      </c>
      <c r="M883" s="16" t="s">
        <v>4237</v>
      </c>
      <c r="N883" s="16" t="s">
        <v>4238</v>
      </c>
    </row>
    <row r="884" spans="1:14" ht="20.100000000000001" customHeight="1" x14ac:dyDescent="0.25">
      <c r="A884" s="15" t="s">
        <v>4239</v>
      </c>
      <c r="B884" s="16" t="s">
        <v>98</v>
      </c>
      <c r="C884" s="15">
        <v>8400206</v>
      </c>
      <c r="D884" s="16" t="s">
        <v>99</v>
      </c>
      <c r="E884" s="15" t="s">
        <v>4240</v>
      </c>
      <c r="F884" s="21" t="str">
        <f>HYPERLINK("https://psearch.kitsapgov.com/webappa/index.html?parcelID=2071140&amp;Theme=Imagery","2071140")</f>
        <v>2071140</v>
      </c>
      <c r="G884" s="16" t="s">
        <v>481</v>
      </c>
      <c r="H884" s="17">
        <v>45532</v>
      </c>
      <c r="I884" s="18">
        <v>80000</v>
      </c>
      <c r="J884" s="19">
        <v>0</v>
      </c>
      <c r="L884" s="16" t="s">
        <v>944</v>
      </c>
      <c r="M884" s="16" t="s">
        <v>4241</v>
      </c>
      <c r="N884" s="16" t="s">
        <v>4242</v>
      </c>
    </row>
    <row r="885" spans="1:14" ht="20.100000000000001" customHeight="1" x14ac:dyDescent="0.25">
      <c r="A885" s="15" t="s">
        <v>4243</v>
      </c>
      <c r="B885" s="16" t="s">
        <v>78</v>
      </c>
      <c r="C885" s="15">
        <v>8100502</v>
      </c>
      <c r="D885" s="16" t="s">
        <v>142</v>
      </c>
      <c r="E885" s="15" t="s">
        <v>392</v>
      </c>
      <c r="F885" s="21" t="str">
        <f>HYPERLINK("https://psearch.kitsapgov.com/webappa/index.html?parcelID=1156769&amp;Theme=Imagery","1156769")</f>
        <v>1156769</v>
      </c>
      <c r="G885" s="16" t="s">
        <v>393</v>
      </c>
      <c r="H885" s="17">
        <v>45540</v>
      </c>
      <c r="I885" s="18">
        <v>460000</v>
      </c>
      <c r="J885" s="19">
        <v>0.35</v>
      </c>
      <c r="K885" s="16" t="s">
        <v>145</v>
      </c>
      <c r="L885" s="16" t="s">
        <v>20</v>
      </c>
      <c r="M885" s="16" t="s">
        <v>4244</v>
      </c>
      <c r="N885" s="16" t="s">
        <v>4245</v>
      </c>
    </row>
    <row r="886" spans="1:14" ht="20.100000000000001" customHeight="1" x14ac:dyDescent="0.25">
      <c r="A886" s="15" t="s">
        <v>4246</v>
      </c>
      <c r="B886" s="16" t="s">
        <v>105</v>
      </c>
      <c r="C886" s="15">
        <v>8100502</v>
      </c>
      <c r="D886" s="16" t="s">
        <v>142</v>
      </c>
      <c r="E886" s="15" t="s">
        <v>4247</v>
      </c>
      <c r="F886" s="21" t="str">
        <f>HYPERLINK("https://psearch.kitsapgov.com/webappa/index.html?parcelID=2505337&amp;Theme=Imagery","2505337")</f>
        <v>2505337</v>
      </c>
      <c r="G886" s="16" t="s">
        <v>4248</v>
      </c>
      <c r="H886" s="17">
        <v>45538</v>
      </c>
      <c r="I886" s="18">
        <v>495000</v>
      </c>
      <c r="J886" s="19">
        <v>1.86</v>
      </c>
      <c r="K886" s="16" t="s">
        <v>145</v>
      </c>
      <c r="L886" s="16" t="s">
        <v>20</v>
      </c>
      <c r="M886" s="16" t="s">
        <v>552</v>
      </c>
      <c r="N886" s="16" t="s">
        <v>4249</v>
      </c>
    </row>
    <row r="887" spans="1:14" ht="20.100000000000001" customHeight="1" x14ac:dyDescent="0.25">
      <c r="A887" s="15" t="s">
        <v>4250</v>
      </c>
      <c r="B887" s="16" t="s">
        <v>4251</v>
      </c>
      <c r="C887" s="15">
        <v>8401101</v>
      </c>
      <c r="D887" s="16" t="s">
        <v>305</v>
      </c>
      <c r="E887" s="15" t="s">
        <v>4252</v>
      </c>
      <c r="F887" s="21" t="str">
        <f>HYPERLINK("https://psearch.kitsapgov.com/webappa/index.html?parcelID=2195527&amp;Theme=Imagery","2195527")</f>
        <v>2195527</v>
      </c>
      <c r="G887" s="16" t="s">
        <v>4253</v>
      </c>
      <c r="H887" s="17">
        <v>45531</v>
      </c>
      <c r="I887" s="18">
        <v>20090000</v>
      </c>
      <c r="J887" s="19">
        <v>10.29</v>
      </c>
      <c r="K887" s="16" t="s">
        <v>308</v>
      </c>
      <c r="L887" s="16" t="s">
        <v>20</v>
      </c>
      <c r="M887" s="16" t="s">
        <v>4254</v>
      </c>
      <c r="N887" s="16" t="s">
        <v>4255</v>
      </c>
    </row>
    <row r="888" spans="1:14" ht="20.100000000000001" customHeight="1" x14ac:dyDescent="0.25">
      <c r="A888" s="15" t="s">
        <v>4256</v>
      </c>
      <c r="B888" s="16" t="s">
        <v>98</v>
      </c>
      <c r="C888" s="15">
        <v>8303660</v>
      </c>
      <c r="D888" s="16" t="s">
        <v>252</v>
      </c>
      <c r="E888" s="15" t="s">
        <v>4257</v>
      </c>
      <c r="F888" s="21" t="str">
        <f>HYPERLINK("https://psearch.kitsapgov.com/webappa/index.html?parcelID=1883990&amp;Theme=Imagery","1883990")</f>
        <v>1883990</v>
      </c>
      <c r="G888" s="16" t="s">
        <v>4258</v>
      </c>
      <c r="H888" s="17">
        <v>45513</v>
      </c>
      <c r="I888" s="18">
        <v>71000</v>
      </c>
      <c r="J888" s="19">
        <v>0</v>
      </c>
      <c r="L888" s="16" t="s">
        <v>20</v>
      </c>
      <c r="M888" s="16" t="s">
        <v>4211</v>
      </c>
      <c r="N888" s="16" t="s">
        <v>4259</v>
      </c>
    </row>
    <row r="889" spans="1:14" ht="20.100000000000001" customHeight="1" x14ac:dyDescent="0.25">
      <c r="A889" s="15" t="s">
        <v>4260</v>
      </c>
      <c r="B889" s="16" t="s">
        <v>285</v>
      </c>
      <c r="C889" s="15">
        <v>8100506</v>
      </c>
      <c r="D889" s="16" t="s">
        <v>286</v>
      </c>
      <c r="E889" s="15" t="s">
        <v>4261</v>
      </c>
      <c r="F889" s="21" t="str">
        <f>HYPERLINK("https://psearch.kitsapgov.com/webappa/index.html?parcelID=2706828&amp;Theme=Imagery","2706828")</f>
        <v>2706828</v>
      </c>
      <c r="G889" s="16" t="s">
        <v>4262</v>
      </c>
      <c r="H889" s="17">
        <v>45546</v>
      </c>
      <c r="I889" s="18">
        <v>2300000</v>
      </c>
      <c r="J889" s="19">
        <v>0.42</v>
      </c>
      <c r="K889" s="16" t="s">
        <v>109</v>
      </c>
      <c r="L889" s="16" t="s">
        <v>20</v>
      </c>
      <c r="M889" s="16" t="s">
        <v>4263</v>
      </c>
      <c r="N889" s="16" t="s">
        <v>4264</v>
      </c>
    </row>
    <row r="890" spans="1:14" ht="20.100000000000001" customHeight="1" x14ac:dyDescent="0.25">
      <c r="A890" s="15" t="s">
        <v>4265</v>
      </c>
      <c r="B890" s="16" t="s">
        <v>78</v>
      </c>
      <c r="C890" s="15">
        <v>8400202</v>
      </c>
      <c r="D890" s="16" t="s">
        <v>440</v>
      </c>
      <c r="E890" s="15" t="s">
        <v>4266</v>
      </c>
      <c r="F890" s="21" t="str">
        <f>HYPERLINK("https://psearch.kitsapgov.com/webappa/index.html?parcelID=2297265&amp;Theme=Imagery","2297265")</f>
        <v>2297265</v>
      </c>
      <c r="G890" s="16" t="s">
        <v>4267</v>
      </c>
      <c r="H890" s="17">
        <v>45554</v>
      </c>
      <c r="I890" s="18">
        <v>650000</v>
      </c>
      <c r="J890" s="19">
        <v>0.2</v>
      </c>
      <c r="K890" s="16" t="s">
        <v>443</v>
      </c>
      <c r="L890" s="16" t="s">
        <v>20</v>
      </c>
      <c r="M890" s="16" t="s">
        <v>4268</v>
      </c>
      <c r="N890" s="16" t="s">
        <v>4269</v>
      </c>
    </row>
    <row r="891" spans="1:14" ht="20.100000000000001" customHeight="1" x14ac:dyDescent="0.25">
      <c r="A891" s="15" t="s">
        <v>4270</v>
      </c>
      <c r="B891" s="16" t="s">
        <v>159</v>
      </c>
      <c r="C891" s="15">
        <v>8400204</v>
      </c>
      <c r="D891" s="16" t="s">
        <v>194</v>
      </c>
      <c r="E891" s="15" t="s">
        <v>4271</v>
      </c>
      <c r="F891" s="21" t="str">
        <f>HYPERLINK("https://psearch.kitsapgov.com/webappa/index.html?parcelID=1232032&amp;Theme=Imagery","1232032")</f>
        <v>1232032</v>
      </c>
      <c r="G891" s="16" t="s">
        <v>4272</v>
      </c>
      <c r="H891" s="17">
        <v>45551</v>
      </c>
      <c r="I891" s="18">
        <v>425000</v>
      </c>
      <c r="J891" s="19">
        <v>0.31</v>
      </c>
      <c r="K891" s="16" t="s">
        <v>82</v>
      </c>
      <c r="L891" s="16" t="s">
        <v>38</v>
      </c>
      <c r="M891" s="16" t="s">
        <v>4273</v>
      </c>
      <c r="N891" s="16" t="s">
        <v>4274</v>
      </c>
    </row>
    <row r="892" spans="1:14" ht="20.100000000000001" customHeight="1" x14ac:dyDescent="0.25">
      <c r="A892" s="15" t="s">
        <v>4275</v>
      </c>
      <c r="B892" s="16" t="s">
        <v>324</v>
      </c>
      <c r="C892" s="15">
        <v>8402307</v>
      </c>
      <c r="D892" s="16" t="s">
        <v>131</v>
      </c>
      <c r="E892" s="15" t="s">
        <v>4276</v>
      </c>
      <c r="F892" s="21" t="str">
        <f>HYPERLINK("https://psearch.kitsapgov.com/webappa/index.html?parcelID=1176015&amp;Theme=Imagery","1176015")</f>
        <v>1176015</v>
      </c>
      <c r="G892" s="16" t="s">
        <v>4277</v>
      </c>
      <c r="H892" s="17">
        <v>45558</v>
      </c>
      <c r="I892" s="18">
        <v>975000</v>
      </c>
      <c r="J892" s="19">
        <v>0.54</v>
      </c>
      <c r="K892" s="16" t="s">
        <v>368</v>
      </c>
      <c r="L892" s="16" t="s">
        <v>20</v>
      </c>
      <c r="M892" s="16" t="s">
        <v>4278</v>
      </c>
      <c r="N892" s="16" t="s">
        <v>4279</v>
      </c>
    </row>
    <row r="893" spans="1:14" ht="20.100000000000001" customHeight="1" x14ac:dyDescent="0.25">
      <c r="A893" s="15" t="s">
        <v>4280</v>
      </c>
      <c r="B893" s="16" t="s">
        <v>1044</v>
      </c>
      <c r="C893" s="15">
        <v>8402307</v>
      </c>
      <c r="D893" s="16" t="s">
        <v>131</v>
      </c>
      <c r="E893" s="15" t="s">
        <v>4281</v>
      </c>
      <c r="F893" s="21" t="str">
        <f>HYPERLINK("https://psearch.kitsapgov.com/webappa/index.html?parcelID=2215168&amp;Theme=Imagery","2215168")</f>
        <v>2215168</v>
      </c>
      <c r="G893" s="16" t="s">
        <v>4282</v>
      </c>
      <c r="H893" s="17">
        <v>45533</v>
      </c>
      <c r="I893" s="18">
        <v>6028863</v>
      </c>
      <c r="J893" s="19">
        <v>1.9</v>
      </c>
      <c r="K893" s="16" t="s">
        <v>515</v>
      </c>
      <c r="L893" s="16" t="s">
        <v>20</v>
      </c>
      <c r="M893" s="16" t="s">
        <v>4283</v>
      </c>
      <c r="N893" s="16" t="s">
        <v>4284</v>
      </c>
    </row>
    <row r="894" spans="1:14" ht="20.100000000000001" customHeight="1" x14ac:dyDescent="0.25">
      <c r="A894" s="15" t="s">
        <v>4285</v>
      </c>
      <c r="B894" s="16" t="s">
        <v>317</v>
      </c>
      <c r="C894" s="15">
        <v>9402395</v>
      </c>
      <c r="D894" s="16" t="s">
        <v>1216</v>
      </c>
      <c r="E894" s="15" t="s">
        <v>4286</v>
      </c>
      <c r="F894" s="21" t="str">
        <f>HYPERLINK("https://psearch.kitsapgov.com/webappa/index.html?parcelID=1509009&amp;Theme=Imagery","1509009")</f>
        <v>1509009</v>
      </c>
      <c r="G894" s="16" t="s">
        <v>1902</v>
      </c>
      <c r="H894" s="17">
        <v>45561</v>
      </c>
      <c r="I894" s="18">
        <v>575000</v>
      </c>
      <c r="J894" s="19">
        <v>0.08</v>
      </c>
      <c r="K894" s="16" t="s">
        <v>647</v>
      </c>
      <c r="L894" s="16" t="s">
        <v>20</v>
      </c>
      <c r="M894" s="16" t="s">
        <v>4287</v>
      </c>
      <c r="N894" s="16" t="s">
        <v>4288</v>
      </c>
    </row>
    <row r="895" spans="1:14" ht="20.100000000000001" customHeight="1" x14ac:dyDescent="0.25">
      <c r="A895" s="15" t="s">
        <v>4289</v>
      </c>
      <c r="B895" s="16" t="s">
        <v>1759</v>
      </c>
      <c r="C895" s="15">
        <v>8303601</v>
      </c>
      <c r="D895" s="16" t="s">
        <v>25</v>
      </c>
      <c r="E895" s="15" t="s">
        <v>4290</v>
      </c>
      <c r="F895" s="21" t="str">
        <f>HYPERLINK("https://psearch.kitsapgov.com/webappa/index.html?parcelID=1885276&amp;Theme=Imagery","1885276")</f>
        <v>1885276</v>
      </c>
      <c r="G895" s="16" t="s">
        <v>4291</v>
      </c>
      <c r="H895" s="17">
        <v>45562</v>
      </c>
      <c r="I895" s="18">
        <v>512500</v>
      </c>
      <c r="J895" s="19">
        <v>0</v>
      </c>
      <c r="L895" s="16" t="s">
        <v>20</v>
      </c>
      <c r="M895" s="16" t="s">
        <v>4292</v>
      </c>
      <c r="N895" s="16" t="s">
        <v>3156</v>
      </c>
    </row>
    <row r="896" spans="1:14" ht="20.100000000000001" customHeight="1" x14ac:dyDescent="0.25">
      <c r="A896" s="15" t="s">
        <v>4293</v>
      </c>
      <c r="B896" s="16" t="s">
        <v>16</v>
      </c>
      <c r="C896" s="15">
        <v>8303601</v>
      </c>
      <c r="D896" s="16" t="s">
        <v>25</v>
      </c>
      <c r="E896" s="15" t="s">
        <v>4294</v>
      </c>
      <c r="F896" s="21" t="str">
        <f>HYPERLINK("https://psearch.kitsapgov.com/webappa/index.html?parcelID=1885284&amp;Theme=Imagery","1885284")</f>
        <v>1885284</v>
      </c>
      <c r="G896" s="16" t="s">
        <v>4295</v>
      </c>
      <c r="H896" s="17">
        <v>45565</v>
      </c>
      <c r="I896" s="18">
        <v>512500</v>
      </c>
      <c r="J896" s="19">
        <v>0</v>
      </c>
      <c r="L896" s="16" t="s">
        <v>20</v>
      </c>
      <c r="M896" s="16" t="s">
        <v>4296</v>
      </c>
      <c r="N896" s="16" t="s">
        <v>3156</v>
      </c>
    </row>
    <row r="897" spans="1:14" ht="20.100000000000001" customHeight="1" x14ac:dyDescent="0.25">
      <c r="A897" s="15" t="s">
        <v>4297</v>
      </c>
      <c r="B897" s="16" t="s">
        <v>317</v>
      </c>
      <c r="C897" s="15">
        <v>9100541</v>
      </c>
      <c r="D897" s="16" t="s">
        <v>186</v>
      </c>
      <c r="E897" s="15" t="s">
        <v>4298</v>
      </c>
      <c r="F897" s="21" t="str">
        <f>HYPERLINK("https://psearch.kitsapgov.com/webappa/index.html?parcelID=1465129&amp;Theme=Imagery","1465129")</f>
        <v>1465129</v>
      </c>
      <c r="G897" s="16" t="s">
        <v>4299</v>
      </c>
      <c r="H897" s="17">
        <v>45568</v>
      </c>
      <c r="I897" s="18">
        <v>537500</v>
      </c>
      <c r="J897" s="19">
        <v>0.12</v>
      </c>
      <c r="K897" s="16" t="s">
        <v>377</v>
      </c>
      <c r="L897" s="16" t="s">
        <v>20</v>
      </c>
      <c r="M897" s="16" t="s">
        <v>4300</v>
      </c>
      <c r="N897" s="16" t="s">
        <v>4301</v>
      </c>
    </row>
    <row r="898" spans="1:14" ht="20.100000000000001" customHeight="1" x14ac:dyDescent="0.25">
      <c r="A898" s="15" t="s">
        <v>4302</v>
      </c>
      <c r="B898" s="16" t="s">
        <v>209</v>
      </c>
      <c r="C898" s="15">
        <v>8401102</v>
      </c>
      <c r="D898" s="16" t="s">
        <v>17</v>
      </c>
      <c r="E898" s="15" t="s">
        <v>1805</v>
      </c>
      <c r="F898" s="21" t="str">
        <f>HYPERLINK("https://psearch.kitsapgov.com/webappa/index.html?parcelID=1659028&amp;Theme=Imagery","1659028")</f>
        <v>1659028</v>
      </c>
      <c r="G898" s="16" t="s">
        <v>1806</v>
      </c>
      <c r="H898" s="17">
        <v>45576</v>
      </c>
      <c r="I898" s="18">
        <v>830000</v>
      </c>
      <c r="J898" s="19">
        <v>0.17</v>
      </c>
      <c r="K898" s="16" t="s">
        <v>679</v>
      </c>
      <c r="L898" s="16" t="s">
        <v>20</v>
      </c>
      <c r="M898" s="16" t="s">
        <v>2835</v>
      </c>
      <c r="N898" s="16" t="s">
        <v>4303</v>
      </c>
    </row>
    <row r="899" spans="1:14" ht="20.100000000000001" customHeight="1" x14ac:dyDescent="0.25">
      <c r="A899" s="15" t="s">
        <v>4304</v>
      </c>
      <c r="B899" s="16" t="s">
        <v>209</v>
      </c>
      <c r="C899" s="15">
        <v>8401101</v>
      </c>
      <c r="D899" s="16" t="s">
        <v>305</v>
      </c>
      <c r="E899" s="15" t="s">
        <v>4305</v>
      </c>
      <c r="F899" s="21" t="str">
        <f>HYPERLINK("https://psearch.kitsapgov.com/webappa/index.html?parcelID=1238930&amp;Theme=Imagery","1238930")</f>
        <v>1238930</v>
      </c>
      <c r="G899" s="16" t="s">
        <v>4306</v>
      </c>
      <c r="H899" s="17">
        <v>45525</v>
      </c>
      <c r="I899" s="18">
        <v>3390</v>
      </c>
      <c r="J899" s="19">
        <v>3.77</v>
      </c>
      <c r="K899" s="16" t="s">
        <v>308</v>
      </c>
      <c r="L899" s="16" t="s">
        <v>232</v>
      </c>
      <c r="M899" s="16" t="s">
        <v>4307</v>
      </c>
      <c r="N899" s="16" t="s">
        <v>2519</v>
      </c>
    </row>
    <row r="900" spans="1:14" ht="20.100000000000001" customHeight="1" x14ac:dyDescent="0.25">
      <c r="A900" s="15" t="s">
        <v>4308</v>
      </c>
      <c r="B900" s="16" t="s">
        <v>285</v>
      </c>
      <c r="C900" s="15">
        <v>8400202</v>
      </c>
      <c r="D900" s="16" t="s">
        <v>440</v>
      </c>
      <c r="E900" s="15" t="s">
        <v>4309</v>
      </c>
      <c r="F900" s="21" t="str">
        <f>HYPERLINK("https://psearch.kitsapgov.com/webappa/index.html?parcelID=2023042&amp;Theme=Imagery","2023042")</f>
        <v>2023042</v>
      </c>
      <c r="G900" s="16" t="s">
        <v>4310</v>
      </c>
      <c r="H900" s="17">
        <v>45580</v>
      </c>
      <c r="I900" s="18">
        <v>1785000</v>
      </c>
      <c r="J900" s="19">
        <v>0.37</v>
      </c>
      <c r="K900" s="16" t="s">
        <v>443</v>
      </c>
      <c r="L900" s="16" t="s">
        <v>20</v>
      </c>
      <c r="M900" s="16" t="s">
        <v>4311</v>
      </c>
      <c r="N900" s="16" t="s">
        <v>4312</v>
      </c>
    </row>
    <row r="901" spans="1:14" ht="20.100000000000001" customHeight="1" x14ac:dyDescent="0.25">
      <c r="A901" s="15" t="s">
        <v>4313</v>
      </c>
      <c r="B901" s="16" t="s">
        <v>24</v>
      </c>
      <c r="C901" s="15">
        <v>8401102</v>
      </c>
      <c r="D901" s="16" t="s">
        <v>17</v>
      </c>
      <c r="E901" s="15" t="s">
        <v>1810</v>
      </c>
      <c r="F901" s="21" t="str">
        <f>HYPERLINK("https://psearch.kitsapgov.com/webappa/index.html?parcelID=2293371&amp;Theme=Imagery","2293371")</f>
        <v>2293371</v>
      </c>
      <c r="G901" s="16" t="s">
        <v>1811</v>
      </c>
      <c r="H901" s="17">
        <v>45576</v>
      </c>
      <c r="I901" s="18">
        <v>810000</v>
      </c>
      <c r="J901" s="19">
        <v>0.12</v>
      </c>
      <c r="K901" s="16" t="s">
        <v>679</v>
      </c>
      <c r="L901" s="16" t="s">
        <v>20</v>
      </c>
      <c r="M901" s="16" t="s">
        <v>2835</v>
      </c>
      <c r="N901" s="16" t="s">
        <v>4314</v>
      </c>
    </row>
    <row r="902" spans="1:14" ht="20.100000000000001" customHeight="1" x14ac:dyDescent="0.25">
      <c r="A902" s="15" t="s">
        <v>4315</v>
      </c>
      <c r="B902" s="16" t="s">
        <v>185</v>
      </c>
      <c r="C902" s="15">
        <v>9400204</v>
      </c>
      <c r="D902" s="16" t="s">
        <v>884</v>
      </c>
      <c r="E902" s="15" t="s">
        <v>2833</v>
      </c>
      <c r="F902" s="21" t="str">
        <f>HYPERLINK("https://psearch.kitsapgov.com/webappa/index.html?parcelID=1609858&amp;Theme=Imagery","1609858")</f>
        <v>1609858</v>
      </c>
      <c r="G902" s="16" t="s">
        <v>2834</v>
      </c>
      <c r="H902" s="17">
        <v>45576</v>
      </c>
      <c r="I902" s="18">
        <v>1085000</v>
      </c>
      <c r="J902" s="19">
        <v>0.41</v>
      </c>
      <c r="K902" s="16" t="s">
        <v>2613</v>
      </c>
      <c r="L902" s="16" t="s">
        <v>20</v>
      </c>
      <c r="M902" s="16" t="s">
        <v>2546</v>
      </c>
      <c r="N902" s="16" t="s">
        <v>4316</v>
      </c>
    </row>
    <row r="903" spans="1:14" ht="20.100000000000001" customHeight="1" x14ac:dyDescent="0.25">
      <c r="A903" s="15" t="s">
        <v>4317</v>
      </c>
      <c r="B903" s="16" t="s">
        <v>105</v>
      </c>
      <c r="C903" s="15">
        <v>8401101</v>
      </c>
      <c r="D903" s="16" t="s">
        <v>305</v>
      </c>
      <c r="E903" s="15" t="s">
        <v>3808</v>
      </c>
      <c r="F903" s="21" t="str">
        <f>HYPERLINK("https://psearch.kitsapgov.com/webappa/index.html?parcelID=2189256&amp;Theme=Imagery","2189256")</f>
        <v>2189256</v>
      </c>
      <c r="G903" s="16" t="s">
        <v>3809</v>
      </c>
      <c r="H903" s="17">
        <v>45586</v>
      </c>
      <c r="I903" s="18">
        <v>250000</v>
      </c>
      <c r="J903" s="19">
        <v>0.37</v>
      </c>
      <c r="K903" s="16" t="s">
        <v>308</v>
      </c>
      <c r="L903" s="16" t="s">
        <v>20</v>
      </c>
      <c r="M903" s="16" t="s">
        <v>4001</v>
      </c>
      <c r="N903" s="16" t="s">
        <v>4318</v>
      </c>
    </row>
    <row r="904" spans="1:14" ht="20.100000000000001" customHeight="1" x14ac:dyDescent="0.25">
      <c r="A904" s="15" t="s">
        <v>4319</v>
      </c>
      <c r="B904" s="16" t="s">
        <v>98</v>
      </c>
      <c r="C904" s="15">
        <v>8400206</v>
      </c>
      <c r="D904" s="16" t="s">
        <v>99</v>
      </c>
      <c r="E904" s="15" t="s">
        <v>485</v>
      </c>
      <c r="F904" s="21" t="str">
        <f>HYPERLINK("https://psearch.kitsapgov.com/webappa/index.html?parcelID=2071462&amp;Theme=Imagery","2071462")</f>
        <v>2071462</v>
      </c>
      <c r="G904" s="16" t="s">
        <v>486</v>
      </c>
      <c r="H904" s="17">
        <v>45587</v>
      </c>
      <c r="I904" s="18">
        <v>77500</v>
      </c>
      <c r="J904" s="19">
        <v>0</v>
      </c>
      <c r="L904" s="16" t="s">
        <v>20</v>
      </c>
      <c r="M904" s="16" t="s">
        <v>488</v>
      </c>
      <c r="N904" s="16" t="s">
        <v>4320</v>
      </c>
    </row>
    <row r="905" spans="1:14" ht="20.100000000000001" customHeight="1" x14ac:dyDescent="0.25">
      <c r="A905" s="15" t="s">
        <v>4321</v>
      </c>
      <c r="B905" s="16" t="s">
        <v>172</v>
      </c>
      <c r="C905" s="15">
        <v>9402395</v>
      </c>
      <c r="D905" s="16" t="s">
        <v>1216</v>
      </c>
      <c r="E905" s="15" t="s">
        <v>4322</v>
      </c>
      <c r="F905" s="21" t="str">
        <f>HYPERLINK("https://psearch.kitsapgov.com/webappa/index.html?parcelID=2707941&amp;Theme=Imagery","2707941")</f>
        <v>2707941</v>
      </c>
      <c r="G905" s="16" t="s">
        <v>4323</v>
      </c>
      <c r="H905" s="17">
        <v>45588</v>
      </c>
      <c r="I905" s="18">
        <v>2500000</v>
      </c>
      <c r="J905" s="19">
        <v>0.69</v>
      </c>
      <c r="K905" s="16" t="s">
        <v>874</v>
      </c>
      <c r="L905" s="16" t="s">
        <v>38</v>
      </c>
      <c r="M905" s="16" t="s">
        <v>4324</v>
      </c>
      <c r="N905" s="16" t="s">
        <v>4325</v>
      </c>
    </row>
    <row r="906" spans="1:14" ht="20.100000000000001" customHeight="1" x14ac:dyDescent="0.25">
      <c r="A906" s="15" t="s">
        <v>4326</v>
      </c>
      <c r="B906" s="16" t="s">
        <v>3627</v>
      </c>
      <c r="C906" s="15">
        <v>9401190</v>
      </c>
      <c r="D906" s="16" t="s">
        <v>330</v>
      </c>
      <c r="E906" s="15" t="s">
        <v>4327</v>
      </c>
      <c r="F906" s="21" t="str">
        <f>HYPERLINK("https://psearch.kitsapgov.com/webappa/index.html?parcelID=1224211&amp;Theme=Imagery","1224211")</f>
        <v>1224211</v>
      </c>
      <c r="G906" s="16" t="s">
        <v>4328</v>
      </c>
      <c r="H906" s="17">
        <v>45591</v>
      </c>
      <c r="I906" s="18">
        <v>329000</v>
      </c>
      <c r="J906" s="19">
        <v>3.44</v>
      </c>
      <c r="K906" s="16" t="s">
        <v>1091</v>
      </c>
      <c r="L906" s="16" t="s">
        <v>20</v>
      </c>
      <c r="M906" s="16" t="s">
        <v>4329</v>
      </c>
      <c r="N906" s="16" t="s">
        <v>4330</v>
      </c>
    </row>
    <row r="907" spans="1:14" ht="20.100000000000001" customHeight="1" x14ac:dyDescent="0.25">
      <c r="A907" s="15" t="s">
        <v>4331</v>
      </c>
      <c r="B907" s="16" t="s">
        <v>98</v>
      </c>
      <c r="C907" s="15">
        <v>8400206</v>
      </c>
      <c r="D907" s="16" t="s">
        <v>99</v>
      </c>
      <c r="E907" s="15" t="s">
        <v>1172</v>
      </c>
      <c r="F907" s="21" t="str">
        <f>HYPERLINK("https://psearch.kitsapgov.com/webappa/index.html?parcelID=2071371&amp;Theme=Imagery","2071371")</f>
        <v>2071371</v>
      </c>
      <c r="G907" s="16" t="s">
        <v>337</v>
      </c>
      <c r="H907" s="17">
        <v>45583</v>
      </c>
      <c r="I907" s="18">
        <v>54000</v>
      </c>
      <c r="J907" s="19">
        <v>0</v>
      </c>
      <c r="L907" s="16" t="s">
        <v>20</v>
      </c>
      <c r="M907" s="16" t="s">
        <v>1174</v>
      </c>
      <c r="N907" s="16" t="s">
        <v>4332</v>
      </c>
    </row>
    <row r="908" spans="1:14" ht="20.100000000000001" customHeight="1" x14ac:dyDescent="0.25">
      <c r="A908" s="15" t="s">
        <v>4333</v>
      </c>
      <c r="B908" s="16" t="s">
        <v>285</v>
      </c>
      <c r="C908" s="15">
        <v>8100502</v>
      </c>
      <c r="D908" s="16" t="s">
        <v>142</v>
      </c>
      <c r="E908" s="15" t="s">
        <v>2066</v>
      </c>
      <c r="F908" s="21" t="str">
        <f>HYPERLINK("https://psearch.kitsapgov.com/webappa/index.html?parcelID=2317824&amp;Theme=Imagery","2317824")</f>
        <v>2317824</v>
      </c>
      <c r="G908" s="16" t="s">
        <v>2067</v>
      </c>
      <c r="H908" s="17">
        <v>45594</v>
      </c>
      <c r="I908" s="18">
        <v>371455</v>
      </c>
      <c r="J908" s="19">
        <v>0.34</v>
      </c>
      <c r="K908" s="16" t="s">
        <v>980</v>
      </c>
      <c r="L908" s="16" t="s">
        <v>920</v>
      </c>
      <c r="M908" s="16" t="s">
        <v>2069</v>
      </c>
      <c r="N908" s="16" t="s">
        <v>4334</v>
      </c>
    </row>
    <row r="909" spans="1:14" ht="20.100000000000001" customHeight="1" x14ac:dyDescent="0.25">
      <c r="A909" s="15" t="s">
        <v>4335</v>
      </c>
      <c r="B909" s="16" t="s">
        <v>24</v>
      </c>
      <c r="C909" s="15">
        <v>8401101</v>
      </c>
      <c r="D909" s="16" t="s">
        <v>305</v>
      </c>
      <c r="E909" s="15" t="s">
        <v>4336</v>
      </c>
      <c r="F909" s="21" t="str">
        <f>HYPERLINK("https://psearch.kitsapgov.com/webappa/index.html?parcelID=2182889&amp;Theme=Imagery","2182889")</f>
        <v>2182889</v>
      </c>
      <c r="G909" s="16" t="s">
        <v>4337</v>
      </c>
      <c r="H909" s="17">
        <v>45595</v>
      </c>
      <c r="I909" s="18">
        <v>990000</v>
      </c>
      <c r="J909" s="19">
        <v>0.38</v>
      </c>
      <c r="K909" s="16" t="s">
        <v>308</v>
      </c>
      <c r="L909" s="16" t="s">
        <v>20</v>
      </c>
      <c r="M909" s="16" t="s">
        <v>4338</v>
      </c>
      <c r="N909" s="16" t="s">
        <v>4339</v>
      </c>
    </row>
    <row r="910" spans="1:14" ht="20.100000000000001" customHeight="1" x14ac:dyDescent="0.25">
      <c r="A910" s="15" t="s">
        <v>4340</v>
      </c>
      <c r="B910" s="16" t="s">
        <v>317</v>
      </c>
      <c r="C910" s="15">
        <v>8401104</v>
      </c>
      <c r="D910" s="16" t="s">
        <v>241</v>
      </c>
      <c r="E910" s="15" t="s">
        <v>1118</v>
      </c>
      <c r="F910" s="21" t="str">
        <f>HYPERLINK("https://psearch.kitsapgov.com/webappa/index.html?parcelID=1116334&amp;Theme=Imagery","1116334")</f>
        <v>1116334</v>
      </c>
      <c r="G910" s="16" t="s">
        <v>1119</v>
      </c>
      <c r="H910" s="17">
        <v>45597</v>
      </c>
      <c r="I910" s="18">
        <v>527000</v>
      </c>
      <c r="J910" s="19">
        <v>0.25</v>
      </c>
      <c r="K910" s="16" t="s">
        <v>82</v>
      </c>
      <c r="L910" s="16" t="s">
        <v>20</v>
      </c>
      <c r="M910" s="16" t="s">
        <v>1121</v>
      </c>
      <c r="N910" s="16" t="s">
        <v>4341</v>
      </c>
    </row>
    <row r="911" spans="1:14" ht="20.100000000000001" customHeight="1" x14ac:dyDescent="0.25">
      <c r="A911" s="15" t="s">
        <v>4342</v>
      </c>
      <c r="B911" s="16" t="s">
        <v>459</v>
      </c>
      <c r="C911" s="15">
        <v>8100501</v>
      </c>
      <c r="D911" s="16" t="s">
        <v>63</v>
      </c>
      <c r="E911" s="15" t="s">
        <v>4343</v>
      </c>
      <c r="F911" s="21" t="str">
        <f>HYPERLINK("https://psearch.kitsapgov.com/webappa/index.html?parcelID=1427806&amp;Theme=Imagery","1427806")</f>
        <v>1427806</v>
      </c>
      <c r="G911" s="16" t="s">
        <v>4344</v>
      </c>
      <c r="H911" s="17">
        <v>45590</v>
      </c>
      <c r="I911" s="18">
        <v>125000</v>
      </c>
      <c r="J911" s="19">
        <v>0.14000000000000001</v>
      </c>
      <c r="K911" s="16" t="s">
        <v>93</v>
      </c>
      <c r="L911" s="16" t="s">
        <v>94</v>
      </c>
      <c r="M911" s="16" t="s">
        <v>4345</v>
      </c>
      <c r="N911" s="16" t="s">
        <v>4081</v>
      </c>
    </row>
    <row r="912" spans="1:14" ht="20.100000000000001" customHeight="1" x14ac:dyDescent="0.25">
      <c r="A912" s="15" t="s">
        <v>4346</v>
      </c>
      <c r="B912" s="16" t="s">
        <v>98</v>
      </c>
      <c r="C912" s="15">
        <v>8303660</v>
      </c>
      <c r="D912" s="16" t="s">
        <v>252</v>
      </c>
      <c r="E912" s="15" t="s">
        <v>4347</v>
      </c>
      <c r="F912" s="21" t="str">
        <f>HYPERLINK("https://psearch.kitsapgov.com/webappa/index.html?parcelID=1883438&amp;Theme=Imagery","1883438")</f>
        <v>1883438</v>
      </c>
      <c r="G912" s="16" t="s">
        <v>4348</v>
      </c>
      <c r="H912" s="17">
        <v>45602</v>
      </c>
      <c r="I912" s="18">
        <v>275000</v>
      </c>
      <c r="J912" s="19">
        <v>0</v>
      </c>
      <c r="L912" s="16" t="s">
        <v>944</v>
      </c>
      <c r="M912" s="16" t="s">
        <v>4349</v>
      </c>
      <c r="N912" s="16" t="s">
        <v>4350</v>
      </c>
    </row>
    <row r="913" spans="1:14" ht="20.100000000000001" customHeight="1" x14ac:dyDescent="0.25">
      <c r="A913" s="15" t="s">
        <v>4351</v>
      </c>
      <c r="B913" s="16" t="s">
        <v>105</v>
      </c>
      <c r="C913" s="15">
        <v>8100502</v>
      </c>
      <c r="D913" s="16" t="s">
        <v>142</v>
      </c>
      <c r="E913" s="15" t="s">
        <v>4352</v>
      </c>
      <c r="F913" s="21" t="str">
        <f>HYPERLINK("https://psearch.kitsapgov.com/webappa/index.html?parcelID=1155563&amp;Theme=Imagery","1155563")</f>
        <v>1155563</v>
      </c>
      <c r="G913" s="16" t="s">
        <v>4353</v>
      </c>
      <c r="H913" s="17">
        <v>45596</v>
      </c>
      <c r="I913" s="18">
        <v>739000</v>
      </c>
      <c r="J913" s="19">
        <v>4.78</v>
      </c>
      <c r="K913" s="16" t="s">
        <v>1029</v>
      </c>
      <c r="L913" s="16" t="s">
        <v>20</v>
      </c>
      <c r="M913" s="16" t="s">
        <v>4354</v>
      </c>
      <c r="N913" s="16" t="s">
        <v>4355</v>
      </c>
    </row>
    <row r="914" spans="1:14" ht="20.100000000000001" customHeight="1" x14ac:dyDescent="0.25">
      <c r="A914" s="15" t="s">
        <v>4356</v>
      </c>
      <c r="B914" s="16" t="s">
        <v>16</v>
      </c>
      <c r="C914" s="15">
        <v>8303601</v>
      </c>
      <c r="D914" s="16" t="s">
        <v>25</v>
      </c>
      <c r="E914" s="15" t="s">
        <v>4357</v>
      </c>
      <c r="F914" s="21" t="str">
        <f>HYPERLINK("https://psearch.kitsapgov.com/webappa/index.html?parcelID=2506905&amp;Theme=Imagery","2506905")</f>
        <v>2506905</v>
      </c>
      <c r="G914" s="16" t="s">
        <v>4358</v>
      </c>
      <c r="H914" s="17">
        <v>45604</v>
      </c>
      <c r="I914" s="18">
        <v>360000</v>
      </c>
      <c r="J914" s="19">
        <v>0</v>
      </c>
      <c r="L914" s="16" t="s">
        <v>20</v>
      </c>
      <c r="M914" s="16" t="s">
        <v>4086</v>
      </c>
      <c r="N914" s="16" t="s">
        <v>4359</v>
      </c>
    </row>
    <row r="915" spans="1:14" ht="20.100000000000001" customHeight="1" x14ac:dyDescent="0.25">
      <c r="A915" s="15" t="s">
        <v>4360</v>
      </c>
      <c r="B915" s="16" t="s">
        <v>98</v>
      </c>
      <c r="C915" s="15">
        <v>8303660</v>
      </c>
      <c r="D915" s="16" t="s">
        <v>252</v>
      </c>
      <c r="E915" s="15" t="s">
        <v>4361</v>
      </c>
      <c r="F915" s="21" t="str">
        <f>HYPERLINK("https://psearch.kitsapgov.com/webappa/index.html?parcelID=1882208&amp;Theme=Imagery","1882208")</f>
        <v>1882208</v>
      </c>
      <c r="G915" s="16" t="s">
        <v>4362</v>
      </c>
      <c r="H915" s="17">
        <v>45604</v>
      </c>
      <c r="I915" s="18">
        <v>140000</v>
      </c>
      <c r="J915" s="19">
        <v>0</v>
      </c>
      <c r="L915" s="16" t="s">
        <v>944</v>
      </c>
      <c r="M915" s="16" t="s">
        <v>4363</v>
      </c>
      <c r="N915" s="16" t="s">
        <v>4364</v>
      </c>
    </row>
    <row r="916" spans="1:14" ht="20.100000000000001" customHeight="1" x14ac:dyDescent="0.25">
      <c r="A916" s="15" t="s">
        <v>4365</v>
      </c>
      <c r="B916" s="16" t="s">
        <v>105</v>
      </c>
      <c r="C916" s="15">
        <v>8401508</v>
      </c>
      <c r="D916" s="16" t="s">
        <v>1341</v>
      </c>
      <c r="E916" s="15" t="s">
        <v>4366</v>
      </c>
      <c r="F916" s="21" t="str">
        <f>HYPERLINK("https://psearch.kitsapgov.com/webappa/index.html?parcelID=2504264&amp;Theme=Imagery","2504264")</f>
        <v>2504264</v>
      </c>
      <c r="G916" s="16" t="s">
        <v>4367</v>
      </c>
      <c r="H916" s="17">
        <v>45596</v>
      </c>
      <c r="I916" s="18">
        <v>800000</v>
      </c>
      <c r="J916" s="19">
        <v>29.45</v>
      </c>
      <c r="K916" s="16" t="s">
        <v>37</v>
      </c>
      <c r="L916" s="16" t="s">
        <v>3307</v>
      </c>
      <c r="M916" s="16" t="s">
        <v>4368</v>
      </c>
      <c r="N916" s="16" t="s">
        <v>4369</v>
      </c>
    </row>
    <row r="917" spans="1:14" ht="20.100000000000001" customHeight="1" x14ac:dyDescent="0.25">
      <c r="A917" s="15" t="s">
        <v>4370</v>
      </c>
      <c r="B917" s="16" t="s">
        <v>105</v>
      </c>
      <c r="C917" s="15">
        <v>9401190</v>
      </c>
      <c r="D917" s="16" t="s">
        <v>330</v>
      </c>
      <c r="E917" s="15" t="s">
        <v>4371</v>
      </c>
      <c r="F917" s="21" t="str">
        <f>HYPERLINK("https://psearch.kitsapgov.com/webappa/index.html?parcelID=1956002&amp;Theme=Imagery","1956002")</f>
        <v>1956002</v>
      </c>
      <c r="G917" s="16" t="s">
        <v>2554</v>
      </c>
      <c r="H917" s="17">
        <v>45609</v>
      </c>
      <c r="I917" s="18">
        <v>215000</v>
      </c>
      <c r="J917" s="19">
        <v>2.4500000000000002</v>
      </c>
      <c r="K917" s="16" t="s">
        <v>37</v>
      </c>
      <c r="L917" s="16" t="s">
        <v>213</v>
      </c>
      <c r="M917" s="16" t="s">
        <v>4372</v>
      </c>
      <c r="N917" s="16" t="s">
        <v>4373</v>
      </c>
    </row>
    <row r="918" spans="1:14" ht="20.100000000000001" customHeight="1" x14ac:dyDescent="0.25">
      <c r="A918" s="15" t="s">
        <v>4374</v>
      </c>
      <c r="B918" s="16" t="s">
        <v>159</v>
      </c>
      <c r="C918" s="15">
        <v>9400304</v>
      </c>
      <c r="D918" s="16" t="s">
        <v>3017</v>
      </c>
      <c r="E918" s="15" t="s">
        <v>3018</v>
      </c>
      <c r="F918" s="21" t="str">
        <f>HYPERLINK("https://psearch.kitsapgov.com/webappa/index.html?parcelID=2050896&amp;Theme=Imagery","2050896")</f>
        <v>2050896</v>
      </c>
      <c r="G918" s="16" t="s">
        <v>3019</v>
      </c>
      <c r="H918" s="17">
        <v>45614</v>
      </c>
      <c r="I918" s="18">
        <v>327066</v>
      </c>
      <c r="J918" s="19">
        <v>4.55</v>
      </c>
      <c r="K918" s="16" t="s">
        <v>205</v>
      </c>
      <c r="L918" s="16" t="s">
        <v>94</v>
      </c>
      <c r="M918" s="16" t="s">
        <v>4375</v>
      </c>
      <c r="N918" s="16" t="s">
        <v>4376</v>
      </c>
    </row>
    <row r="919" spans="1:14" ht="20.100000000000001" customHeight="1" x14ac:dyDescent="0.25">
      <c r="A919" s="15" t="s">
        <v>4377</v>
      </c>
      <c r="B919" s="16" t="s">
        <v>533</v>
      </c>
      <c r="C919" s="15">
        <v>9100541</v>
      </c>
      <c r="D919" s="16" t="s">
        <v>186</v>
      </c>
      <c r="E919" s="15" t="s">
        <v>4378</v>
      </c>
      <c r="F919" s="21" t="str">
        <f>HYPERLINK("https://psearch.kitsapgov.com/webappa/index.html?parcelID=1424969&amp;Theme=Imagery","1424969")</f>
        <v>1424969</v>
      </c>
      <c r="G919" s="16" t="s">
        <v>4379</v>
      </c>
      <c r="H919" s="17">
        <v>45621</v>
      </c>
      <c r="I919" s="18">
        <v>850000</v>
      </c>
      <c r="J919" s="19">
        <v>0.13</v>
      </c>
      <c r="K919" s="16" t="s">
        <v>377</v>
      </c>
      <c r="L919" s="16" t="s">
        <v>20</v>
      </c>
      <c r="M919" s="16" t="s">
        <v>4380</v>
      </c>
      <c r="N919" s="16" t="s">
        <v>4381</v>
      </c>
    </row>
    <row r="920" spans="1:14" ht="20.100000000000001" customHeight="1" x14ac:dyDescent="0.25">
      <c r="A920" s="15" t="s">
        <v>4382</v>
      </c>
      <c r="B920" s="16" t="s">
        <v>130</v>
      </c>
      <c r="C920" s="15">
        <v>8400203</v>
      </c>
      <c r="D920" s="16" t="s">
        <v>353</v>
      </c>
      <c r="E920" s="15" t="s">
        <v>4383</v>
      </c>
      <c r="F920" s="21" t="str">
        <f>HYPERLINK("https://psearch.kitsapgov.com/webappa/index.html?parcelID=1336478&amp;Theme=Imagery","1336478")</f>
        <v>1336478</v>
      </c>
      <c r="G920" s="16" t="s">
        <v>4384</v>
      </c>
      <c r="H920" s="17">
        <v>45620</v>
      </c>
      <c r="I920" s="18">
        <v>1925000</v>
      </c>
      <c r="J920" s="19">
        <v>0.28999999999999998</v>
      </c>
      <c r="K920" s="16" t="s">
        <v>356</v>
      </c>
      <c r="L920" s="16" t="s">
        <v>38</v>
      </c>
      <c r="M920" s="16" t="s">
        <v>4385</v>
      </c>
      <c r="N920" s="16" t="s">
        <v>4386</v>
      </c>
    </row>
    <row r="921" spans="1:14" ht="20.100000000000001" customHeight="1" x14ac:dyDescent="0.25">
      <c r="A921" s="15" t="s">
        <v>4387</v>
      </c>
      <c r="B921" s="16" t="s">
        <v>533</v>
      </c>
      <c r="C921" s="15">
        <v>8100502</v>
      </c>
      <c r="D921" s="16" t="s">
        <v>142</v>
      </c>
      <c r="E921" s="15" t="s">
        <v>2293</v>
      </c>
      <c r="F921" s="21" t="str">
        <f>HYPERLINK("https://psearch.kitsapgov.com/webappa/index.html?parcelID=2239416&amp;Theme=Imagery","2239416")</f>
        <v>2239416</v>
      </c>
      <c r="G921" s="16" t="s">
        <v>2294</v>
      </c>
      <c r="H921" s="17">
        <v>45622</v>
      </c>
      <c r="I921" s="18">
        <v>250000</v>
      </c>
      <c r="J921" s="19">
        <v>0.69</v>
      </c>
      <c r="K921" s="16" t="s">
        <v>168</v>
      </c>
      <c r="L921" s="16" t="s">
        <v>38</v>
      </c>
      <c r="M921" s="16" t="s">
        <v>2296</v>
      </c>
      <c r="N921" s="16" t="s">
        <v>3631</v>
      </c>
    </row>
    <row r="922" spans="1:14" ht="20.100000000000001" customHeight="1" x14ac:dyDescent="0.25">
      <c r="A922" s="15" t="s">
        <v>4388</v>
      </c>
      <c r="B922" s="16" t="s">
        <v>159</v>
      </c>
      <c r="C922" s="15">
        <v>8401101</v>
      </c>
      <c r="D922" s="16" t="s">
        <v>305</v>
      </c>
      <c r="E922" s="15" t="s">
        <v>4389</v>
      </c>
      <c r="F922" s="21" t="str">
        <f>HYPERLINK("https://psearch.kitsapgov.com/webappa/index.html?parcelID=2446961&amp;Theme=Imagery","2446961")</f>
        <v>2446961</v>
      </c>
      <c r="G922" s="16" t="s">
        <v>4390</v>
      </c>
      <c r="H922" s="17">
        <v>45622</v>
      </c>
      <c r="I922" s="18">
        <v>700000</v>
      </c>
      <c r="J922" s="19">
        <v>0.17</v>
      </c>
      <c r="K922" s="16" t="s">
        <v>308</v>
      </c>
      <c r="L922" s="16" t="s">
        <v>38</v>
      </c>
      <c r="M922" s="16" t="s">
        <v>4391</v>
      </c>
      <c r="N922" s="16" t="s">
        <v>4392</v>
      </c>
    </row>
    <row r="923" spans="1:14" ht="20.100000000000001" customHeight="1" x14ac:dyDescent="0.25">
      <c r="A923" s="15" t="s">
        <v>4393</v>
      </c>
      <c r="B923" s="16" t="s">
        <v>70</v>
      </c>
      <c r="C923" s="15">
        <v>8100504</v>
      </c>
      <c r="D923" s="16" t="s">
        <v>210</v>
      </c>
      <c r="E923" s="15" t="s">
        <v>4394</v>
      </c>
      <c r="F923" s="21" t="str">
        <f>HYPERLINK("https://psearch.kitsapgov.com/webappa/index.html?parcelID=1713973&amp;Theme=Imagery","1713973")</f>
        <v>1713973</v>
      </c>
      <c r="G923" s="16" t="s">
        <v>4395</v>
      </c>
      <c r="H923" s="17">
        <v>45601</v>
      </c>
      <c r="I923" s="18">
        <v>225000</v>
      </c>
      <c r="J923" s="19">
        <v>2.0699999999999998</v>
      </c>
      <c r="K923" s="16" t="s">
        <v>37</v>
      </c>
      <c r="L923" s="16" t="s">
        <v>38</v>
      </c>
      <c r="M923" s="16" t="s">
        <v>4396</v>
      </c>
      <c r="N923" s="16" t="s">
        <v>2923</v>
      </c>
    </row>
    <row r="924" spans="1:14" ht="20.100000000000001" customHeight="1" x14ac:dyDescent="0.25">
      <c r="A924" s="15" t="s">
        <v>4397</v>
      </c>
      <c r="B924" s="16" t="s">
        <v>324</v>
      </c>
      <c r="C924" s="15">
        <v>8401101</v>
      </c>
      <c r="D924" s="16" t="s">
        <v>305</v>
      </c>
      <c r="E924" s="15" t="s">
        <v>4398</v>
      </c>
      <c r="F924" s="21" t="str">
        <f>HYPERLINK("https://psearch.kitsapgov.com/webappa/index.html?parcelID=2141083&amp;Theme=Imagery","2141083")</f>
        <v>2141083</v>
      </c>
      <c r="G924" s="16" t="s">
        <v>4399</v>
      </c>
      <c r="H924" s="17">
        <v>45630</v>
      </c>
      <c r="I924" s="18">
        <v>1875000</v>
      </c>
      <c r="J924" s="19">
        <v>0.92</v>
      </c>
      <c r="K924" s="16" t="s">
        <v>308</v>
      </c>
      <c r="L924" s="16" t="s">
        <v>38</v>
      </c>
      <c r="M924" s="16" t="s">
        <v>4400</v>
      </c>
      <c r="N924" s="16" t="s">
        <v>4401</v>
      </c>
    </row>
    <row r="925" spans="1:14" ht="20.100000000000001" customHeight="1" x14ac:dyDescent="0.25">
      <c r="A925" s="15" t="s">
        <v>4402</v>
      </c>
      <c r="B925" s="16" t="s">
        <v>105</v>
      </c>
      <c r="C925" s="15">
        <v>8400207</v>
      </c>
      <c r="D925" s="16" t="s">
        <v>298</v>
      </c>
      <c r="E925" s="15" t="s">
        <v>4403</v>
      </c>
      <c r="F925" s="21" t="str">
        <f>HYPERLINK("https://psearch.kitsapgov.com/webappa/index.html?parcelID=2457141&amp;Theme=Imagery","2457141")</f>
        <v>2457141</v>
      </c>
      <c r="G925" s="16" t="s">
        <v>4404</v>
      </c>
      <c r="H925" s="17">
        <v>45618</v>
      </c>
      <c r="I925" s="18">
        <v>600000</v>
      </c>
      <c r="J925" s="19">
        <v>1.18</v>
      </c>
      <c r="K925" s="16" t="s">
        <v>960</v>
      </c>
      <c r="L925" s="16" t="s">
        <v>38</v>
      </c>
      <c r="M925" s="16" t="s">
        <v>4405</v>
      </c>
      <c r="N925" s="16" t="s">
        <v>4406</v>
      </c>
    </row>
    <row r="926" spans="1:14" ht="20.100000000000001" customHeight="1" x14ac:dyDescent="0.25">
      <c r="A926" s="15" t="s">
        <v>4407</v>
      </c>
      <c r="B926" s="16" t="s">
        <v>159</v>
      </c>
      <c r="C926" s="15">
        <v>8100510</v>
      </c>
      <c r="D926" s="16" t="s">
        <v>106</v>
      </c>
      <c r="E926" s="15" t="s">
        <v>3950</v>
      </c>
      <c r="F926" s="21" t="str">
        <f>HYPERLINK("https://psearch.kitsapgov.com/webappa/index.html?parcelID=1438142&amp;Theme=Imagery","1438142")</f>
        <v>1438142</v>
      </c>
      <c r="G926" s="16" t="s">
        <v>3951</v>
      </c>
      <c r="H926" s="17">
        <v>45631</v>
      </c>
      <c r="I926" s="18">
        <v>97000</v>
      </c>
      <c r="J926" s="19">
        <v>0.02</v>
      </c>
      <c r="K926" s="16" t="s">
        <v>109</v>
      </c>
      <c r="L926" s="16" t="s">
        <v>20</v>
      </c>
      <c r="M926" s="16" t="s">
        <v>3953</v>
      </c>
      <c r="N926" s="16" t="s">
        <v>4408</v>
      </c>
    </row>
    <row r="927" spans="1:14" ht="20.100000000000001" customHeight="1" x14ac:dyDescent="0.25">
      <c r="A927" s="15" t="s">
        <v>4409</v>
      </c>
      <c r="B927" s="16" t="s">
        <v>229</v>
      </c>
      <c r="C927" s="15">
        <v>8100501</v>
      </c>
      <c r="D927" s="16" t="s">
        <v>63</v>
      </c>
      <c r="E927" s="15" t="s">
        <v>4410</v>
      </c>
      <c r="F927" s="21" t="str">
        <f>HYPERLINK("https://psearch.kitsapgov.com/webappa/index.html?parcelID=1426741&amp;Theme=Imagery","1426741")</f>
        <v>1426741</v>
      </c>
      <c r="G927" s="16" t="s">
        <v>4411</v>
      </c>
      <c r="H927" s="17">
        <v>45617</v>
      </c>
      <c r="I927" s="18">
        <v>2325000</v>
      </c>
      <c r="J927" s="19">
        <v>0.28000000000000003</v>
      </c>
      <c r="K927" s="16" t="s">
        <v>93</v>
      </c>
      <c r="L927" s="16" t="s">
        <v>38</v>
      </c>
      <c r="M927" s="16" t="s">
        <v>4412</v>
      </c>
      <c r="N927" s="16" t="s">
        <v>4413</v>
      </c>
    </row>
    <row r="928" spans="1:14" ht="20.100000000000001" customHeight="1" x14ac:dyDescent="0.25">
      <c r="A928" s="15" t="s">
        <v>4414</v>
      </c>
      <c r="B928" s="16" t="s">
        <v>172</v>
      </c>
      <c r="C928" s="15">
        <v>8303601</v>
      </c>
      <c r="D928" s="16" t="s">
        <v>25</v>
      </c>
      <c r="E928" s="15" t="s">
        <v>4415</v>
      </c>
      <c r="F928" s="21" t="str">
        <f>HYPERLINK("https://psearch.kitsapgov.com/webappa/index.html?parcelID=2699312&amp;Theme=Imagery","2699312")</f>
        <v>2699312</v>
      </c>
      <c r="G928" s="16" t="s">
        <v>4416</v>
      </c>
      <c r="H928" s="17">
        <v>45636</v>
      </c>
      <c r="I928" s="18">
        <v>3983930</v>
      </c>
      <c r="J928" s="19">
        <v>0.15</v>
      </c>
      <c r="K928" s="16" t="s">
        <v>2178</v>
      </c>
      <c r="L928" s="16" t="s">
        <v>38</v>
      </c>
      <c r="M928" s="16" t="s">
        <v>4417</v>
      </c>
      <c r="N928" s="16" t="s">
        <v>4418</v>
      </c>
    </row>
    <row r="929" spans="1:14" ht="20.100000000000001" customHeight="1" x14ac:dyDescent="0.25">
      <c r="A929" s="15" t="s">
        <v>4419</v>
      </c>
      <c r="B929" s="16" t="s">
        <v>159</v>
      </c>
      <c r="C929" s="15">
        <v>8100510</v>
      </c>
      <c r="D929" s="16" t="s">
        <v>106</v>
      </c>
      <c r="E929" s="15" t="s">
        <v>4420</v>
      </c>
      <c r="F929" s="21" t="str">
        <f>HYPERLINK("https://psearch.kitsapgov.com/webappa/index.html?parcelID=1437797&amp;Theme=Imagery","1437797")</f>
        <v>1437797</v>
      </c>
      <c r="G929" s="16" t="s">
        <v>4421</v>
      </c>
      <c r="H929" s="17">
        <v>45632</v>
      </c>
      <c r="I929" s="18">
        <v>315000</v>
      </c>
      <c r="J929" s="19">
        <v>7.0000000000000007E-2</v>
      </c>
      <c r="K929" s="16" t="s">
        <v>109</v>
      </c>
      <c r="L929" s="16" t="s">
        <v>20</v>
      </c>
      <c r="M929" s="16" t="s">
        <v>4422</v>
      </c>
      <c r="N929" s="16" t="s">
        <v>4423</v>
      </c>
    </row>
    <row r="930" spans="1:14" ht="20.100000000000001" customHeight="1" x14ac:dyDescent="0.25">
      <c r="A930" s="15" t="s">
        <v>4424</v>
      </c>
      <c r="B930" s="16" t="s">
        <v>153</v>
      </c>
      <c r="C930" s="15">
        <v>8100506</v>
      </c>
      <c r="D930" s="16" t="s">
        <v>286</v>
      </c>
      <c r="E930" s="15" t="s">
        <v>3529</v>
      </c>
      <c r="F930" s="21" t="str">
        <f>HYPERLINK("https://psearch.kitsapgov.com/webappa/index.html?parcelID=1493808&amp;Theme=Imagery","1493808")</f>
        <v>1493808</v>
      </c>
      <c r="G930" s="16" t="s">
        <v>3530</v>
      </c>
      <c r="H930" s="17">
        <v>45595</v>
      </c>
      <c r="I930" s="18">
        <v>2250000</v>
      </c>
      <c r="J930" s="19">
        <v>0.6</v>
      </c>
      <c r="K930" s="16" t="s">
        <v>168</v>
      </c>
      <c r="L930" s="16" t="s">
        <v>1594</v>
      </c>
      <c r="M930" s="16" t="s">
        <v>3532</v>
      </c>
      <c r="N930" s="16" t="s">
        <v>4425</v>
      </c>
    </row>
    <row r="931" spans="1:14" ht="20.100000000000001" customHeight="1" x14ac:dyDescent="0.25">
      <c r="A931" s="15" t="s">
        <v>4426</v>
      </c>
      <c r="B931" s="16" t="s">
        <v>78</v>
      </c>
      <c r="C931" s="15">
        <v>8400204</v>
      </c>
      <c r="D931" s="16" t="s">
        <v>194</v>
      </c>
      <c r="E931" s="15" t="s">
        <v>4427</v>
      </c>
      <c r="F931" s="21" t="str">
        <f>HYPERLINK("https://psearch.kitsapgov.com/webappa/index.html?parcelID=1354596&amp;Theme=Imagery","1354596")</f>
        <v>1354596</v>
      </c>
      <c r="G931" s="16" t="s">
        <v>4428</v>
      </c>
      <c r="H931" s="17">
        <v>45639</v>
      </c>
      <c r="I931" s="18">
        <v>510000</v>
      </c>
      <c r="J931" s="19">
        <v>1.19</v>
      </c>
      <c r="K931" s="16" t="s">
        <v>82</v>
      </c>
      <c r="L931" s="16" t="s">
        <v>20</v>
      </c>
      <c r="M931" s="16" t="s">
        <v>4429</v>
      </c>
      <c r="N931" s="16" t="s">
        <v>4430</v>
      </c>
    </row>
    <row r="932" spans="1:14" ht="20.100000000000001" customHeight="1" x14ac:dyDescent="0.25">
      <c r="A932" s="15" t="s">
        <v>4431</v>
      </c>
      <c r="B932" s="16" t="s">
        <v>209</v>
      </c>
      <c r="C932" s="15">
        <v>8401101</v>
      </c>
      <c r="D932" s="16" t="s">
        <v>305</v>
      </c>
      <c r="E932" s="15" t="s">
        <v>4432</v>
      </c>
      <c r="F932" s="21" t="str">
        <f>HYPERLINK("https://psearch.kitsapgov.com/webappa/index.html?parcelID=1950138&amp;Theme=Imagery","1950138")</f>
        <v>1950138</v>
      </c>
      <c r="G932" s="16" t="s">
        <v>4433</v>
      </c>
      <c r="H932" s="17">
        <v>45636</v>
      </c>
      <c r="I932" s="18">
        <v>6480</v>
      </c>
      <c r="J932" s="19">
        <v>1.37</v>
      </c>
      <c r="K932" s="16" t="s">
        <v>308</v>
      </c>
      <c r="L932" s="16" t="s">
        <v>232</v>
      </c>
      <c r="M932" s="16" t="s">
        <v>4434</v>
      </c>
      <c r="N932" s="16" t="s">
        <v>2519</v>
      </c>
    </row>
    <row r="933" spans="1:14" ht="20.100000000000001" customHeight="1" x14ac:dyDescent="0.25">
      <c r="A933" s="15" t="s">
        <v>4435</v>
      </c>
      <c r="B933" s="16" t="s">
        <v>70</v>
      </c>
      <c r="C933" s="15">
        <v>8401104</v>
      </c>
      <c r="D933" s="16" t="s">
        <v>241</v>
      </c>
      <c r="E933" s="15" t="s">
        <v>4436</v>
      </c>
      <c r="F933" s="21" t="str">
        <f>HYPERLINK("https://psearch.kitsapgov.com/webappa/index.html?parcelID=1116318&amp;Theme=Imagery","1116318")</f>
        <v>1116318</v>
      </c>
      <c r="G933" s="16" t="s">
        <v>4437</v>
      </c>
      <c r="H933" s="17">
        <v>45645</v>
      </c>
      <c r="I933" s="18">
        <v>475000</v>
      </c>
      <c r="J933" s="19">
        <v>0.33</v>
      </c>
      <c r="K933" s="16" t="s">
        <v>82</v>
      </c>
      <c r="L933" s="16" t="s">
        <v>20</v>
      </c>
      <c r="M933" s="16" t="s">
        <v>4438</v>
      </c>
      <c r="N933" s="16" t="s">
        <v>4439</v>
      </c>
    </row>
    <row r="934" spans="1:14" ht="20.100000000000001" customHeight="1" x14ac:dyDescent="0.25">
      <c r="A934" s="15" t="s">
        <v>4440</v>
      </c>
      <c r="B934" s="16" t="s">
        <v>834</v>
      </c>
      <c r="C934" s="15">
        <v>8402408</v>
      </c>
      <c r="D934" s="16" t="s">
        <v>160</v>
      </c>
      <c r="E934" s="15" t="s">
        <v>4441</v>
      </c>
      <c r="F934" s="21" t="str">
        <f>HYPERLINK("https://psearch.kitsapgov.com/webappa/index.html?parcelID=1170240&amp;Theme=Imagery","1170240")</f>
        <v>1170240</v>
      </c>
      <c r="G934" s="16" t="s">
        <v>4442</v>
      </c>
      <c r="H934" s="17">
        <v>45645</v>
      </c>
      <c r="I934" s="18">
        <v>829392</v>
      </c>
      <c r="J934" s="19">
        <v>1.72</v>
      </c>
      <c r="K934" s="16" t="s">
        <v>1163</v>
      </c>
      <c r="L934" s="16" t="s">
        <v>38</v>
      </c>
      <c r="M934" s="16" t="s">
        <v>4443</v>
      </c>
      <c r="N934" s="16" t="s">
        <v>4444</v>
      </c>
    </row>
    <row r="935" spans="1:14" ht="20.100000000000001" customHeight="1" x14ac:dyDescent="0.25">
      <c r="A935" s="15" t="s">
        <v>4445</v>
      </c>
      <c r="B935" s="16" t="s">
        <v>78</v>
      </c>
      <c r="C935" s="15">
        <v>9401190</v>
      </c>
      <c r="D935" s="16" t="s">
        <v>330</v>
      </c>
      <c r="E935" s="15" t="s">
        <v>4446</v>
      </c>
      <c r="F935" s="21" t="str">
        <f>HYPERLINK("https://psearch.kitsapgov.com/webappa/index.html?parcelID=1224955&amp;Theme=Imagery","1224955")</f>
        <v>1224955</v>
      </c>
      <c r="G935" s="16" t="s">
        <v>3663</v>
      </c>
      <c r="H935" s="17">
        <v>45644</v>
      </c>
      <c r="I935" s="18">
        <v>250000</v>
      </c>
      <c r="J935" s="19">
        <v>0.83</v>
      </c>
      <c r="K935" s="16" t="s">
        <v>37</v>
      </c>
      <c r="L935" s="16" t="s">
        <v>20</v>
      </c>
      <c r="M935" s="16" t="s">
        <v>4447</v>
      </c>
      <c r="N935" s="16" t="s">
        <v>4448</v>
      </c>
    </row>
    <row r="936" spans="1:14" ht="20.100000000000001" customHeight="1" x14ac:dyDescent="0.25">
      <c r="A936" s="15" t="s">
        <v>4449</v>
      </c>
      <c r="B936" s="16" t="s">
        <v>130</v>
      </c>
      <c r="C936" s="15">
        <v>8100502</v>
      </c>
      <c r="D936" s="16" t="s">
        <v>142</v>
      </c>
      <c r="E936" s="15" t="s">
        <v>4450</v>
      </c>
      <c r="F936" s="21" t="str">
        <f>HYPERLINK("https://psearch.kitsapgov.com/webappa/index.html?parcelID=2315455&amp;Theme=Imagery","2315455")</f>
        <v>2315455</v>
      </c>
      <c r="G936" s="16" t="s">
        <v>4451</v>
      </c>
      <c r="H936" s="17">
        <v>45644</v>
      </c>
      <c r="I936" s="18">
        <v>7600000</v>
      </c>
      <c r="J936" s="19">
        <v>0.8</v>
      </c>
      <c r="K936" s="16" t="s">
        <v>168</v>
      </c>
      <c r="L936" s="16" t="s">
        <v>38</v>
      </c>
      <c r="M936" s="16" t="s">
        <v>4452</v>
      </c>
      <c r="N936" s="16" t="s">
        <v>4453</v>
      </c>
    </row>
    <row r="937" spans="1:14" ht="20.100000000000001" customHeight="1" x14ac:dyDescent="0.25">
      <c r="A937" s="15" t="s">
        <v>4454</v>
      </c>
      <c r="B937" s="16" t="s">
        <v>130</v>
      </c>
      <c r="C937" s="15">
        <v>8402307</v>
      </c>
      <c r="D937" s="16" t="s">
        <v>131</v>
      </c>
      <c r="E937" s="15" t="s">
        <v>1307</v>
      </c>
      <c r="F937" s="21" t="str">
        <f>HYPERLINK("https://psearch.kitsapgov.com/webappa/index.html?parcelID=2075299&amp;Theme=Imagery","2075299")</f>
        <v>2075299</v>
      </c>
      <c r="G937" s="16" t="s">
        <v>1308</v>
      </c>
      <c r="H937" s="17">
        <v>45644</v>
      </c>
      <c r="I937" s="18">
        <v>4500000</v>
      </c>
      <c r="J937" s="19">
        <v>0.72</v>
      </c>
      <c r="K937" s="16" t="s">
        <v>630</v>
      </c>
      <c r="L937" s="16" t="s">
        <v>38</v>
      </c>
      <c r="M937" s="16" t="s">
        <v>1310</v>
      </c>
      <c r="N937" s="16" t="s">
        <v>4455</v>
      </c>
    </row>
    <row r="938" spans="1:14" ht="20.100000000000001" customHeight="1" x14ac:dyDescent="0.25">
      <c r="A938" s="15" t="s">
        <v>4456</v>
      </c>
      <c r="B938" s="16" t="s">
        <v>105</v>
      </c>
      <c r="C938" s="15">
        <v>8400302</v>
      </c>
      <c r="D938" s="16" t="s">
        <v>397</v>
      </c>
      <c r="E938" s="15" t="s">
        <v>4457</v>
      </c>
      <c r="F938" s="21" t="str">
        <f>HYPERLINK("https://psearch.kitsapgov.com/webappa/index.html?parcelID=2383271&amp;Theme=Imagery","2383271")</f>
        <v>2383271</v>
      </c>
      <c r="G938" s="16" t="s">
        <v>4458</v>
      </c>
      <c r="H938" s="17">
        <v>45646</v>
      </c>
      <c r="I938" s="18">
        <v>265000</v>
      </c>
      <c r="J938" s="19">
        <v>0.61</v>
      </c>
      <c r="K938" s="16" t="s">
        <v>343</v>
      </c>
      <c r="L938" s="16" t="s">
        <v>20</v>
      </c>
      <c r="M938" s="16" t="s">
        <v>4459</v>
      </c>
      <c r="N938" s="16" t="s">
        <v>4460</v>
      </c>
    </row>
    <row r="939" spans="1:14" ht="20.100000000000001" customHeight="1" x14ac:dyDescent="0.25">
      <c r="A939" s="15" t="s">
        <v>4461</v>
      </c>
      <c r="B939" s="16" t="s">
        <v>285</v>
      </c>
      <c r="C939" s="15">
        <v>8402306</v>
      </c>
      <c r="D939" s="16" t="s">
        <v>621</v>
      </c>
      <c r="E939" s="15" t="s">
        <v>4462</v>
      </c>
      <c r="F939" s="21" t="str">
        <f>HYPERLINK("https://psearch.kitsapgov.com/webappa/index.html?parcelID=1505866&amp;Theme=Imagery","1505866")</f>
        <v>1505866</v>
      </c>
      <c r="G939" s="16" t="s">
        <v>4463</v>
      </c>
      <c r="H939" s="17">
        <v>45649</v>
      </c>
      <c r="I939" s="18">
        <v>750000</v>
      </c>
      <c r="J939" s="19">
        <v>0.19</v>
      </c>
      <c r="K939" s="16" t="s">
        <v>515</v>
      </c>
      <c r="L939" s="16" t="s">
        <v>20</v>
      </c>
      <c r="M939" s="16" t="s">
        <v>4464</v>
      </c>
      <c r="N939" s="16" t="s">
        <v>4465</v>
      </c>
    </row>
    <row r="940" spans="1:14" ht="20.100000000000001" customHeight="1" x14ac:dyDescent="0.25">
      <c r="A940" s="15" t="s">
        <v>4466</v>
      </c>
      <c r="B940" s="16" t="s">
        <v>159</v>
      </c>
      <c r="C940" s="15">
        <v>8100506</v>
      </c>
      <c r="D940" s="16" t="s">
        <v>286</v>
      </c>
      <c r="E940" s="15" t="s">
        <v>4467</v>
      </c>
      <c r="F940" s="21" t="str">
        <f>HYPERLINK("https://psearch.kitsapgov.com/webappa/index.html?parcelID=1472364&amp;Theme=Imagery","1472364")</f>
        <v>1472364</v>
      </c>
      <c r="G940" s="16" t="s">
        <v>4468</v>
      </c>
      <c r="H940" s="17">
        <v>45652</v>
      </c>
      <c r="I940" s="18">
        <v>266500</v>
      </c>
      <c r="J940" s="19">
        <v>0.17</v>
      </c>
      <c r="K940" s="16" t="s">
        <v>980</v>
      </c>
      <c r="L940" s="16" t="s">
        <v>20</v>
      </c>
      <c r="M940" s="16" t="s">
        <v>4469</v>
      </c>
      <c r="N940" s="16" t="s">
        <v>4470</v>
      </c>
    </row>
    <row r="941" spans="1:14" ht="20.100000000000001" customHeight="1" x14ac:dyDescent="0.25">
      <c r="A941" s="15" t="s">
        <v>4471</v>
      </c>
      <c r="B941" s="16" t="s">
        <v>98</v>
      </c>
      <c r="C941" s="15">
        <v>8400206</v>
      </c>
      <c r="D941" s="16" t="s">
        <v>99</v>
      </c>
      <c r="E941" s="15" t="s">
        <v>336</v>
      </c>
      <c r="F941" s="21" t="str">
        <f>HYPERLINK("https://psearch.kitsapgov.com/webappa/index.html?parcelID=2071256&amp;Theme=Imagery","2071256")</f>
        <v>2071256</v>
      </c>
      <c r="G941" s="16" t="s">
        <v>337</v>
      </c>
      <c r="H941" s="17">
        <v>45652</v>
      </c>
      <c r="I941" s="18">
        <v>60000</v>
      </c>
      <c r="J941" s="19">
        <v>0</v>
      </c>
      <c r="L941" s="16" t="s">
        <v>20</v>
      </c>
      <c r="M941" s="16" t="s">
        <v>1702</v>
      </c>
      <c r="N941" s="16" t="s">
        <v>4472</v>
      </c>
    </row>
    <row r="942" spans="1:14" ht="20.100000000000001" customHeight="1" x14ac:dyDescent="0.25">
      <c r="A942" s="15" t="s">
        <v>4473</v>
      </c>
      <c r="B942" s="16" t="s">
        <v>159</v>
      </c>
      <c r="C942" s="15">
        <v>8100501</v>
      </c>
      <c r="D942" s="16" t="s">
        <v>63</v>
      </c>
      <c r="E942" s="15" t="s">
        <v>4474</v>
      </c>
      <c r="F942" s="21" t="str">
        <f>HYPERLINK("https://psearch.kitsapgov.com/webappa/index.html?parcelID=1427343&amp;Theme=Imagery","1427343")</f>
        <v>1427343</v>
      </c>
      <c r="G942" s="16" t="s">
        <v>4475</v>
      </c>
      <c r="H942" s="17">
        <v>45653</v>
      </c>
      <c r="I942" s="18">
        <v>331500</v>
      </c>
      <c r="J942" s="19">
        <v>0.11</v>
      </c>
      <c r="K942" s="16" t="s">
        <v>66</v>
      </c>
      <c r="L942" s="16" t="s">
        <v>20</v>
      </c>
      <c r="M942" s="16" t="s">
        <v>4476</v>
      </c>
      <c r="N942" s="16" t="s">
        <v>4477</v>
      </c>
    </row>
    <row r="943" spans="1:14" ht="20.100000000000001" customHeight="1" x14ac:dyDescent="0.25">
      <c r="A943" s="15" t="s">
        <v>4478</v>
      </c>
      <c r="B943" s="16" t="s">
        <v>560</v>
      </c>
      <c r="C943" s="15">
        <v>8402405</v>
      </c>
      <c r="D943" s="16" t="s">
        <v>71</v>
      </c>
      <c r="E943" s="15" t="s">
        <v>4479</v>
      </c>
      <c r="F943" s="21" t="str">
        <f>HYPERLINK("https://psearch.kitsapgov.com/webappa/index.html?parcelID=2288884&amp;Theme=Imagery","2288884")</f>
        <v>2288884</v>
      </c>
      <c r="G943" s="16" t="s">
        <v>4480</v>
      </c>
      <c r="H943" s="17">
        <v>45660</v>
      </c>
      <c r="I943" s="18">
        <v>75000</v>
      </c>
      <c r="J943" s="19">
        <v>0</v>
      </c>
      <c r="L943" s="16" t="s">
        <v>944</v>
      </c>
      <c r="M943" s="16" t="s">
        <v>4481</v>
      </c>
      <c r="N943" s="16" t="s">
        <v>4482</v>
      </c>
    </row>
    <row r="944" spans="1:14" ht="20.100000000000001" customHeight="1" x14ac:dyDescent="0.25">
      <c r="A944" s="15" t="s">
        <v>4483</v>
      </c>
      <c r="B944" s="16" t="s">
        <v>105</v>
      </c>
      <c r="C944" s="15">
        <v>8401508</v>
      </c>
      <c r="D944" s="16" t="s">
        <v>1341</v>
      </c>
      <c r="E944" s="15" t="s">
        <v>4484</v>
      </c>
      <c r="F944" s="21" t="str">
        <f>HYPERLINK("https://psearch.kitsapgov.com/webappa/index.html?parcelID=2274991&amp;Theme=Imagery","2274991")</f>
        <v>2274991</v>
      </c>
      <c r="G944" s="16" t="s">
        <v>4485</v>
      </c>
      <c r="H944" s="17">
        <v>45653</v>
      </c>
      <c r="I944" s="18">
        <v>8125000</v>
      </c>
      <c r="J944" s="19">
        <v>12.02</v>
      </c>
      <c r="K944" s="16" t="s">
        <v>37</v>
      </c>
      <c r="L944" s="16" t="s">
        <v>38</v>
      </c>
      <c r="M944" s="16" t="s">
        <v>4486</v>
      </c>
      <c r="N944" s="16" t="s">
        <v>4487</v>
      </c>
    </row>
    <row r="945" spans="1:14" ht="20.100000000000001" customHeight="1" x14ac:dyDescent="0.25">
      <c r="A945" s="15" t="s">
        <v>4488</v>
      </c>
      <c r="B945" s="16" t="s">
        <v>24</v>
      </c>
      <c r="C945" s="15">
        <v>8100501</v>
      </c>
      <c r="D945" s="16" t="s">
        <v>63</v>
      </c>
      <c r="E945" s="15" t="s">
        <v>4489</v>
      </c>
      <c r="F945" s="21" t="str">
        <f>HYPERLINK("https://psearch.kitsapgov.com/webappa/index.html?parcelID=1428077&amp;Theme=Imagery","1428077")</f>
        <v>1428077</v>
      </c>
      <c r="G945" s="16" t="s">
        <v>4490</v>
      </c>
      <c r="H945" s="17">
        <v>45663</v>
      </c>
      <c r="I945" s="18">
        <v>756</v>
      </c>
      <c r="J945" s="19">
        <v>1.03</v>
      </c>
      <c r="K945" s="16" t="s">
        <v>66</v>
      </c>
      <c r="L945" s="16" t="s">
        <v>232</v>
      </c>
      <c r="M945" s="16" t="s">
        <v>4491</v>
      </c>
      <c r="N945" s="16" t="s">
        <v>4492</v>
      </c>
    </row>
    <row r="946" spans="1:14" ht="20.100000000000001" customHeight="1" x14ac:dyDescent="0.25">
      <c r="A946" s="15" t="s">
        <v>4493</v>
      </c>
      <c r="B946" s="16" t="s">
        <v>105</v>
      </c>
      <c r="C946" s="15">
        <v>8100502</v>
      </c>
      <c r="D946" s="16" t="s">
        <v>142</v>
      </c>
      <c r="E946" s="15" t="s">
        <v>3439</v>
      </c>
      <c r="F946" s="21" t="str">
        <f>HYPERLINK("https://psearch.kitsapgov.com/webappa/index.html?parcelID=1451855&amp;Theme=Imagery","1451855")</f>
        <v>1451855</v>
      </c>
      <c r="G946" s="16" t="s">
        <v>3440</v>
      </c>
      <c r="H946" s="17">
        <v>45679</v>
      </c>
      <c r="I946" s="18">
        <v>30000</v>
      </c>
      <c r="J946" s="19">
        <v>0.12</v>
      </c>
      <c r="K946" s="16" t="s">
        <v>168</v>
      </c>
      <c r="L946" s="16" t="s">
        <v>20</v>
      </c>
      <c r="M946" s="16" t="s">
        <v>3441</v>
      </c>
      <c r="N946" s="16" t="s">
        <v>4494</v>
      </c>
    </row>
    <row r="947" spans="1:14" ht="20.100000000000001" customHeight="1" x14ac:dyDescent="0.25">
      <c r="A947" s="15" t="s">
        <v>4495</v>
      </c>
      <c r="B947" s="16" t="s">
        <v>209</v>
      </c>
      <c r="C947" s="15">
        <v>8100502</v>
      </c>
      <c r="D947" s="16" t="s">
        <v>142</v>
      </c>
      <c r="E947" s="15" t="s">
        <v>4496</v>
      </c>
      <c r="F947" s="21" t="str">
        <f>HYPERLINK("https://psearch.kitsapgov.com/webappa/index.html?parcelID=1126432&amp;Theme=Imagery","1126432")</f>
        <v>1126432</v>
      </c>
      <c r="G947" s="16" t="s">
        <v>4497</v>
      </c>
      <c r="H947" s="17">
        <v>45680</v>
      </c>
      <c r="I947" s="18">
        <v>650000</v>
      </c>
      <c r="J947" s="19">
        <v>0.3</v>
      </c>
      <c r="K947" s="16" t="s">
        <v>168</v>
      </c>
      <c r="L947" s="16" t="s">
        <v>213</v>
      </c>
      <c r="M947" s="16" t="s">
        <v>4498</v>
      </c>
      <c r="N947" s="16" t="s">
        <v>4499</v>
      </c>
    </row>
    <row r="948" spans="1:14" ht="20.100000000000001" customHeight="1" x14ac:dyDescent="0.25">
      <c r="A948" s="15" t="s">
        <v>4500</v>
      </c>
      <c r="B948" s="16" t="s">
        <v>153</v>
      </c>
      <c r="C948" s="15">
        <v>8303601</v>
      </c>
      <c r="D948" s="16" t="s">
        <v>25</v>
      </c>
      <c r="E948" s="15" t="s">
        <v>4501</v>
      </c>
      <c r="F948" s="21" t="str">
        <f>HYPERLINK("https://psearch.kitsapgov.com/webappa/index.html?parcelID=1980267&amp;Theme=Imagery","1980267")</f>
        <v>1980267</v>
      </c>
      <c r="G948" s="16" t="s">
        <v>4502</v>
      </c>
      <c r="H948" s="17">
        <v>45684</v>
      </c>
      <c r="I948" s="18">
        <v>2600000</v>
      </c>
      <c r="J948" s="19">
        <v>0.61</v>
      </c>
      <c r="K948" s="16" t="s">
        <v>2483</v>
      </c>
      <c r="L948" s="16" t="s">
        <v>20</v>
      </c>
      <c r="M948" s="16" t="s">
        <v>4503</v>
      </c>
      <c r="N948" s="16" t="s">
        <v>4504</v>
      </c>
    </row>
  </sheetData>
  <mergeCells count="1">
    <mergeCell ref="A1:D1"/>
  </mergeCells>
  <pageMargins left="0.75" right="0.75" top="1" bottom="1" header="0.5" footer="0.5"/>
  <pageSetup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E5880-8FE8-4B05-B066-1BF53BA57F36}">
  <sheetPr codeName="Sheet4"/>
  <dimension ref="A1:O717"/>
  <sheetViews>
    <sheetView workbookViewId="0">
      <pane ySplit="2" topLeftCell="A3" activePane="bottomLeft" state="frozen"/>
      <selection pane="bottomLeft" activeCell="F3" sqref="F3"/>
    </sheetView>
  </sheetViews>
  <sheetFormatPr defaultColWidth="9.140625" defaultRowHeight="14.25" x14ac:dyDescent="0.2"/>
  <cols>
    <col min="1" max="1" width="13.140625" style="36" customWidth="1"/>
    <col min="2" max="2" width="52.42578125" style="37" customWidth="1"/>
    <col min="3" max="3" width="11.140625" style="36" customWidth="1"/>
    <col min="4" max="4" width="35.7109375" style="37" customWidth="1"/>
    <col min="5" max="5" width="20.7109375" style="36" customWidth="1"/>
    <col min="6" max="6" width="14.7109375" style="36" customWidth="1"/>
    <col min="7" max="7" width="43.140625" style="37" bestFit="1" customWidth="1"/>
    <col min="8" max="8" width="12" style="38" customWidth="1"/>
    <col min="9" max="9" width="11.85546875" style="39" customWidth="1"/>
    <col min="10" max="10" width="8.28515625" style="40" customWidth="1"/>
    <col min="11" max="11" width="40.140625" style="37" customWidth="1"/>
    <col min="12" max="12" width="28.140625" style="37" customWidth="1"/>
    <col min="13" max="14" width="50.7109375" style="37" customWidth="1"/>
    <col min="15" max="16384" width="9.140625" style="41"/>
  </cols>
  <sheetData>
    <row r="1" spans="1:15" s="28" customFormat="1" ht="21" customHeight="1" x14ac:dyDescent="0.25">
      <c r="A1" s="22" t="s">
        <v>4505</v>
      </c>
      <c r="B1" s="22"/>
      <c r="C1" s="22"/>
      <c r="D1" s="22"/>
      <c r="E1" s="23"/>
      <c r="F1" s="23"/>
      <c r="G1" s="24"/>
      <c r="H1" s="25"/>
      <c r="I1" s="26"/>
      <c r="J1" s="27"/>
      <c r="K1" s="24"/>
      <c r="L1" s="24"/>
      <c r="M1" s="24"/>
      <c r="N1" s="24"/>
    </row>
    <row r="2" spans="1:15" s="35" customFormat="1" ht="27" customHeight="1" x14ac:dyDescent="0.2">
      <c r="A2" s="29" t="s">
        <v>1</v>
      </c>
      <c r="B2" s="30" t="s">
        <v>2</v>
      </c>
      <c r="C2" s="29" t="s">
        <v>3</v>
      </c>
      <c r="D2" s="30" t="s">
        <v>4</v>
      </c>
      <c r="E2" s="29" t="s">
        <v>5</v>
      </c>
      <c r="F2" s="29" t="s">
        <v>6</v>
      </c>
      <c r="G2" s="30" t="s">
        <v>7</v>
      </c>
      <c r="H2" s="31" t="s">
        <v>8</v>
      </c>
      <c r="I2" s="32" t="s">
        <v>9</v>
      </c>
      <c r="J2" s="33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4"/>
    </row>
    <row r="3" spans="1:15" ht="39.950000000000003" customHeight="1" x14ac:dyDescent="0.25">
      <c r="A3" s="36" t="s">
        <v>4506</v>
      </c>
      <c r="B3" s="37" t="s">
        <v>78</v>
      </c>
      <c r="C3" s="36">
        <v>7100541</v>
      </c>
      <c r="D3" s="37" t="s">
        <v>4507</v>
      </c>
      <c r="E3" s="36" t="s">
        <v>4508</v>
      </c>
      <c r="F3" s="21" t="str">
        <f>HYPERLINK("https://psearch.kitsapgov.com/webappa/index.html?parcelID=1429174&amp;Theme=Imagery","1429174")</f>
        <v>1429174</v>
      </c>
      <c r="G3" s="37" t="s">
        <v>3019</v>
      </c>
      <c r="H3" s="38">
        <v>43875</v>
      </c>
      <c r="I3" s="39">
        <v>760000</v>
      </c>
      <c r="J3" s="40">
        <v>7.0000000000000007E-2</v>
      </c>
      <c r="K3" s="37" t="s">
        <v>377</v>
      </c>
      <c r="L3" s="37" t="s">
        <v>190</v>
      </c>
      <c r="M3" s="37" t="s">
        <v>4509</v>
      </c>
      <c r="N3" s="37" t="s">
        <v>4510</v>
      </c>
    </row>
    <row r="4" spans="1:15" ht="20.100000000000001" customHeight="1" x14ac:dyDescent="0.25">
      <c r="A4" s="36" t="s">
        <v>4506</v>
      </c>
      <c r="B4" s="37" t="s">
        <v>4511</v>
      </c>
      <c r="C4" s="36">
        <v>7100541</v>
      </c>
      <c r="D4" s="37" t="s">
        <v>4507</v>
      </c>
      <c r="E4" s="36" t="s">
        <v>4512</v>
      </c>
      <c r="F4" s="21" t="str">
        <f>HYPERLINK("https://psearch.kitsapgov.com/webappa/index.html?parcelID=1429182&amp;Theme=Imagery","1429182")</f>
        <v>1429182</v>
      </c>
      <c r="G4" s="37" t="s">
        <v>3019</v>
      </c>
      <c r="H4" s="38">
        <v>43875</v>
      </c>
      <c r="I4" s="39">
        <v>760000</v>
      </c>
      <c r="J4" s="40">
        <v>7.0000000000000007E-2</v>
      </c>
      <c r="K4" s="37" t="s">
        <v>377</v>
      </c>
      <c r="L4" s="37" t="s">
        <v>190</v>
      </c>
      <c r="M4" s="37" t="s">
        <v>4509</v>
      </c>
      <c r="N4" s="37" t="s">
        <v>4510</v>
      </c>
    </row>
    <row r="5" spans="1:15" ht="20.100000000000001" customHeight="1" x14ac:dyDescent="0.25">
      <c r="A5" s="36" t="s">
        <v>4506</v>
      </c>
      <c r="B5" s="37" t="s">
        <v>78</v>
      </c>
      <c r="C5" s="36">
        <v>7100541</v>
      </c>
      <c r="D5" s="37" t="s">
        <v>4507</v>
      </c>
      <c r="E5" s="36" t="s">
        <v>4513</v>
      </c>
      <c r="F5" s="21" t="str">
        <f>HYPERLINK("https://psearch.kitsapgov.com/webappa/index.html?parcelID=1429190&amp;Theme=Imagery","1429190")</f>
        <v>1429190</v>
      </c>
      <c r="G5" s="37" t="s">
        <v>3019</v>
      </c>
      <c r="H5" s="38">
        <v>43875</v>
      </c>
      <c r="I5" s="39">
        <v>760000</v>
      </c>
      <c r="J5" s="40">
        <v>7.0000000000000007E-2</v>
      </c>
      <c r="K5" s="37" t="s">
        <v>377</v>
      </c>
      <c r="L5" s="37" t="s">
        <v>190</v>
      </c>
      <c r="M5" s="37" t="s">
        <v>4509</v>
      </c>
      <c r="N5" s="37" t="s">
        <v>4510</v>
      </c>
    </row>
    <row r="6" spans="1:15" ht="39.950000000000003" customHeight="1" x14ac:dyDescent="0.25">
      <c r="A6" s="36" t="s">
        <v>4514</v>
      </c>
      <c r="B6" s="37" t="s">
        <v>70</v>
      </c>
      <c r="C6" s="36">
        <v>8400204</v>
      </c>
      <c r="D6" s="37" t="s">
        <v>194</v>
      </c>
      <c r="E6" s="36" t="s">
        <v>4515</v>
      </c>
      <c r="F6" s="21" t="str">
        <f>HYPERLINK("https://psearch.kitsapgov.com/webappa/index.html?parcelID=2456390&amp;Theme=Imagery","2456390")</f>
        <v>2456390</v>
      </c>
      <c r="G6" s="37" t="s">
        <v>4516</v>
      </c>
      <c r="H6" s="38">
        <v>43887</v>
      </c>
      <c r="I6" s="39">
        <v>3125000</v>
      </c>
      <c r="J6" s="40">
        <v>0.9</v>
      </c>
      <c r="K6" s="37" t="s">
        <v>583</v>
      </c>
      <c r="L6" s="37" t="s">
        <v>4517</v>
      </c>
      <c r="M6" s="37" t="s">
        <v>4518</v>
      </c>
      <c r="N6" s="37" t="s">
        <v>4519</v>
      </c>
    </row>
    <row r="7" spans="1:15" ht="20.100000000000001" customHeight="1" x14ac:dyDescent="0.25">
      <c r="A7" s="36" t="s">
        <v>4514</v>
      </c>
      <c r="B7" s="37" t="s">
        <v>105</v>
      </c>
      <c r="C7" s="36">
        <v>8400204</v>
      </c>
      <c r="D7" s="37" t="s">
        <v>194</v>
      </c>
      <c r="E7" s="36" t="s">
        <v>4520</v>
      </c>
      <c r="F7" s="21" t="str">
        <f>HYPERLINK("https://psearch.kitsapgov.com/webappa/index.html?parcelID=2456408&amp;Theme=Imagery","2456408")</f>
        <v>2456408</v>
      </c>
      <c r="G7" s="37" t="s">
        <v>4521</v>
      </c>
      <c r="H7" s="38">
        <v>43887</v>
      </c>
      <c r="I7" s="39">
        <v>3125000</v>
      </c>
      <c r="J7" s="40">
        <v>0.83</v>
      </c>
      <c r="K7" s="37" t="s">
        <v>583</v>
      </c>
      <c r="L7" s="37" t="s">
        <v>4517</v>
      </c>
      <c r="M7" s="37" t="s">
        <v>4518</v>
      </c>
      <c r="N7" s="37" t="s">
        <v>4519</v>
      </c>
    </row>
    <row r="8" spans="1:15" ht="39.950000000000003" customHeight="1" x14ac:dyDescent="0.25">
      <c r="A8" s="36" t="s">
        <v>4522</v>
      </c>
      <c r="B8" s="37" t="s">
        <v>105</v>
      </c>
      <c r="C8" s="36">
        <v>8402307</v>
      </c>
      <c r="D8" s="37" t="s">
        <v>131</v>
      </c>
      <c r="E8" s="36" t="s">
        <v>4523</v>
      </c>
      <c r="F8" s="21" t="str">
        <f>HYPERLINK("https://psearch.kitsapgov.com/webappa/index.html?parcelID=1930197&amp;Theme=Imagery","1930197")</f>
        <v>1930197</v>
      </c>
      <c r="G8" s="37" t="s">
        <v>4524</v>
      </c>
      <c r="H8" s="38">
        <v>43896</v>
      </c>
      <c r="I8" s="39">
        <v>500000</v>
      </c>
      <c r="J8" s="40">
        <v>4.66</v>
      </c>
      <c r="K8" s="37" t="s">
        <v>37</v>
      </c>
      <c r="L8" s="37" t="s">
        <v>4517</v>
      </c>
      <c r="M8" s="37" t="s">
        <v>907</v>
      </c>
      <c r="N8" s="37" t="s">
        <v>4525</v>
      </c>
    </row>
    <row r="9" spans="1:15" ht="20.100000000000001" customHeight="1" x14ac:dyDescent="0.25">
      <c r="A9" s="36" t="s">
        <v>4522</v>
      </c>
      <c r="B9" s="37" t="s">
        <v>105</v>
      </c>
      <c r="C9" s="36">
        <v>8402307</v>
      </c>
      <c r="D9" s="37" t="s">
        <v>131</v>
      </c>
      <c r="E9" s="36" t="s">
        <v>4526</v>
      </c>
      <c r="F9" s="21" t="str">
        <f>HYPERLINK("https://psearch.kitsapgov.com/webappa/index.html?parcelID=1209394&amp;Theme=Imagery","1209394")</f>
        <v>1209394</v>
      </c>
      <c r="G9" s="37" t="s">
        <v>4524</v>
      </c>
      <c r="H9" s="38">
        <v>43896</v>
      </c>
      <c r="I9" s="39">
        <v>500000</v>
      </c>
      <c r="J9" s="40">
        <v>4.66</v>
      </c>
      <c r="K9" s="37" t="s">
        <v>37</v>
      </c>
      <c r="L9" s="37" t="s">
        <v>4517</v>
      </c>
      <c r="M9" s="37" t="s">
        <v>907</v>
      </c>
      <c r="N9" s="37" t="s">
        <v>4525</v>
      </c>
    </row>
    <row r="10" spans="1:15" ht="20.100000000000001" customHeight="1" x14ac:dyDescent="0.25">
      <c r="A10" s="36" t="s">
        <v>4522</v>
      </c>
      <c r="B10" s="37" t="s">
        <v>105</v>
      </c>
      <c r="C10" s="36">
        <v>7402390</v>
      </c>
      <c r="D10" s="37" t="s">
        <v>4527</v>
      </c>
      <c r="E10" s="36" t="s">
        <v>4528</v>
      </c>
      <c r="F10" s="21" t="str">
        <f>HYPERLINK("https://psearch.kitsapgov.com/webappa/index.html?parcelID=1209444&amp;Theme=Imagery","1209444")</f>
        <v>1209444</v>
      </c>
      <c r="G10" s="37" t="s">
        <v>3019</v>
      </c>
      <c r="H10" s="38">
        <v>43896</v>
      </c>
      <c r="I10" s="39">
        <v>500000</v>
      </c>
      <c r="J10" s="40">
        <v>0.47</v>
      </c>
      <c r="K10" s="37" t="s">
        <v>176</v>
      </c>
      <c r="L10" s="37" t="s">
        <v>4517</v>
      </c>
      <c r="M10" s="37" t="s">
        <v>907</v>
      </c>
      <c r="N10" s="37" t="s">
        <v>4525</v>
      </c>
    </row>
    <row r="11" spans="1:15" ht="39.950000000000003" customHeight="1" x14ac:dyDescent="0.25">
      <c r="A11" s="36" t="s">
        <v>4529</v>
      </c>
      <c r="B11" s="37" t="s">
        <v>105</v>
      </c>
      <c r="C11" s="36">
        <v>8400204</v>
      </c>
      <c r="D11" s="37" t="s">
        <v>194</v>
      </c>
      <c r="E11" s="36" t="s">
        <v>4530</v>
      </c>
      <c r="F11" s="21" t="str">
        <f>HYPERLINK("https://psearch.kitsapgov.com/webappa/index.html?parcelID=2520526&amp;Theme=Imagery","2520526")</f>
        <v>2520526</v>
      </c>
      <c r="G11" s="37" t="s">
        <v>4531</v>
      </c>
      <c r="H11" s="38">
        <v>43944</v>
      </c>
      <c r="I11" s="39">
        <v>450000</v>
      </c>
      <c r="J11" s="40">
        <v>2.15</v>
      </c>
      <c r="K11" s="37" t="s">
        <v>82</v>
      </c>
      <c r="L11" s="37" t="s">
        <v>4517</v>
      </c>
      <c r="M11" s="37" t="s">
        <v>4532</v>
      </c>
      <c r="N11" s="37" t="s">
        <v>4533</v>
      </c>
    </row>
    <row r="12" spans="1:15" ht="20.100000000000001" customHeight="1" x14ac:dyDescent="0.25">
      <c r="A12" s="36" t="s">
        <v>4529</v>
      </c>
      <c r="B12" s="37" t="s">
        <v>105</v>
      </c>
      <c r="C12" s="36">
        <v>8400204</v>
      </c>
      <c r="D12" s="37" t="s">
        <v>194</v>
      </c>
      <c r="E12" s="36" t="s">
        <v>4534</v>
      </c>
      <c r="F12" s="21" t="str">
        <f>HYPERLINK("https://psearch.kitsapgov.com/webappa/index.html?parcelID=2595205&amp;Theme=Imagery","2595205")</f>
        <v>2595205</v>
      </c>
      <c r="G12" s="37" t="s">
        <v>4531</v>
      </c>
      <c r="H12" s="38">
        <v>43944</v>
      </c>
      <c r="I12" s="39">
        <v>450000</v>
      </c>
      <c r="J12" s="40">
        <v>0.9</v>
      </c>
      <c r="K12" s="37" t="s">
        <v>82</v>
      </c>
      <c r="L12" s="37" t="s">
        <v>4517</v>
      </c>
      <c r="M12" s="37" t="s">
        <v>4532</v>
      </c>
      <c r="N12" s="37" t="s">
        <v>4533</v>
      </c>
    </row>
    <row r="13" spans="1:15" ht="39.950000000000003" customHeight="1" x14ac:dyDescent="0.25">
      <c r="A13" s="36" t="s">
        <v>4535</v>
      </c>
      <c r="B13" s="37" t="s">
        <v>24</v>
      </c>
      <c r="C13" s="36">
        <v>8100505</v>
      </c>
      <c r="D13" s="37" t="s">
        <v>670</v>
      </c>
      <c r="E13" s="36" t="s">
        <v>4536</v>
      </c>
      <c r="F13" s="21" t="str">
        <f>HYPERLINK("https://psearch.kitsapgov.com/webappa/index.html?parcelID=1490705&amp;Theme=Imagery","1490705")</f>
        <v>1490705</v>
      </c>
      <c r="G13" s="37" t="s">
        <v>4537</v>
      </c>
      <c r="H13" s="38">
        <v>43948</v>
      </c>
      <c r="I13" s="39">
        <v>367000</v>
      </c>
      <c r="J13" s="40">
        <v>0.38</v>
      </c>
      <c r="K13" s="37" t="s">
        <v>673</v>
      </c>
      <c r="L13" s="37" t="s">
        <v>4517</v>
      </c>
      <c r="M13" s="37" t="s">
        <v>4538</v>
      </c>
      <c r="N13" s="37" t="s">
        <v>4539</v>
      </c>
    </row>
    <row r="14" spans="1:15" ht="20.100000000000001" customHeight="1" x14ac:dyDescent="0.25">
      <c r="A14" s="36" t="s">
        <v>4535</v>
      </c>
      <c r="B14" s="37" t="s">
        <v>285</v>
      </c>
      <c r="C14" s="36">
        <v>8100505</v>
      </c>
      <c r="D14" s="37" t="s">
        <v>670</v>
      </c>
      <c r="E14" s="36" t="s">
        <v>4540</v>
      </c>
      <c r="F14" s="21" t="str">
        <f>HYPERLINK("https://psearch.kitsapgov.com/webappa/index.html?parcelID=1490754&amp;Theme=Imagery","1490754")</f>
        <v>1490754</v>
      </c>
      <c r="G14" s="37" t="s">
        <v>4541</v>
      </c>
      <c r="H14" s="38">
        <v>43948</v>
      </c>
      <c r="I14" s="39">
        <v>367000</v>
      </c>
      <c r="J14" s="40">
        <v>0.27</v>
      </c>
      <c r="K14" s="37" t="s">
        <v>673</v>
      </c>
      <c r="L14" s="37" t="s">
        <v>4517</v>
      </c>
      <c r="M14" s="37" t="s">
        <v>4538</v>
      </c>
      <c r="N14" s="37" t="s">
        <v>4539</v>
      </c>
    </row>
    <row r="15" spans="1:15" ht="39.950000000000003" customHeight="1" x14ac:dyDescent="0.25">
      <c r="A15" s="36" t="s">
        <v>4542</v>
      </c>
      <c r="B15" s="37" t="s">
        <v>105</v>
      </c>
      <c r="C15" s="36">
        <v>8400204</v>
      </c>
      <c r="D15" s="37" t="s">
        <v>194</v>
      </c>
      <c r="E15" s="36" t="s">
        <v>4543</v>
      </c>
      <c r="F15" s="21" t="str">
        <f>HYPERLINK("https://psearch.kitsapgov.com/webappa/index.html?parcelID=1922913&amp;Theme=Imagery","1922913")</f>
        <v>1922913</v>
      </c>
      <c r="G15" s="37" t="s">
        <v>4544</v>
      </c>
      <c r="H15" s="38">
        <v>43988</v>
      </c>
      <c r="I15" s="39">
        <v>600000</v>
      </c>
      <c r="J15" s="40">
        <v>2.4900000000000002</v>
      </c>
      <c r="K15" s="37" t="s">
        <v>2040</v>
      </c>
      <c r="L15" s="37" t="s">
        <v>4517</v>
      </c>
      <c r="M15" s="37" t="s">
        <v>4545</v>
      </c>
      <c r="N15" s="37" t="s">
        <v>4546</v>
      </c>
    </row>
    <row r="16" spans="1:15" ht="20.100000000000001" customHeight="1" x14ac:dyDescent="0.25">
      <c r="A16" s="36" t="s">
        <v>4542</v>
      </c>
      <c r="B16" s="37" t="s">
        <v>70</v>
      </c>
      <c r="C16" s="36">
        <v>8400204</v>
      </c>
      <c r="D16" s="37" t="s">
        <v>194</v>
      </c>
      <c r="E16" s="36" t="s">
        <v>4547</v>
      </c>
      <c r="F16" s="21" t="str">
        <f>HYPERLINK("https://psearch.kitsapgov.com/webappa/index.html?parcelID=1922921&amp;Theme=Imagery","1922921")</f>
        <v>1922921</v>
      </c>
      <c r="G16" s="37" t="s">
        <v>4548</v>
      </c>
      <c r="H16" s="38">
        <v>43988</v>
      </c>
      <c r="I16" s="39">
        <v>600000</v>
      </c>
      <c r="J16" s="40">
        <v>2.38</v>
      </c>
      <c r="K16" s="37" t="s">
        <v>2040</v>
      </c>
      <c r="L16" s="37" t="s">
        <v>4517</v>
      </c>
      <c r="M16" s="37" t="s">
        <v>4545</v>
      </c>
      <c r="N16" s="37" t="s">
        <v>4546</v>
      </c>
    </row>
    <row r="17" spans="1:14" ht="39.950000000000003" customHeight="1" x14ac:dyDescent="0.25">
      <c r="A17" s="36" t="s">
        <v>4549</v>
      </c>
      <c r="B17" s="37" t="s">
        <v>24</v>
      </c>
      <c r="C17" s="36">
        <v>8100505</v>
      </c>
      <c r="D17" s="37" t="s">
        <v>670</v>
      </c>
      <c r="E17" s="36" t="s">
        <v>4550</v>
      </c>
      <c r="F17" s="21" t="str">
        <f>HYPERLINK("https://psearch.kitsapgov.com/webappa/index.html?parcelID=1496645&amp;Theme=Imagery","1496645")</f>
        <v>1496645</v>
      </c>
      <c r="G17" s="37" t="s">
        <v>4551</v>
      </c>
      <c r="H17" s="38">
        <v>43999</v>
      </c>
      <c r="I17" s="39">
        <v>820000</v>
      </c>
      <c r="J17" s="40">
        <v>0.06</v>
      </c>
      <c r="K17" s="37" t="s">
        <v>673</v>
      </c>
      <c r="L17" s="37" t="s">
        <v>4552</v>
      </c>
      <c r="M17" s="37" t="s">
        <v>4553</v>
      </c>
      <c r="N17" s="37" t="s">
        <v>4554</v>
      </c>
    </row>
    <row r="18" spans="1:14" ht="20.100000000000001" customHeight="1" x14ac:dyDescent="0.25">
      <c r="A18" s="36" t="s">
        <v>4549</v>
      </c>
      <c r="B18" s="37" t="s">
        <v>24</v>
      </c>
      <c r="C18" s="36">
        <v>8100505</v>
      </c>
      <c r="D18" s="37" t="s">
        <v>670</v>
      </c>
      <c r="E18" s="36" t="s">
        <v>4555</v>
      </c>
      <c r="F18" s="21" t="str">
        <f>HYPERLINK("https://psearch.kitsapgov.com/webappa/index.html?parcelID=2564078&amp;Theme=Imagery","2564078")</f>
        <v>2564078</v>
      </c>
      <c r="G18" s="37" t="s">
        <v>4556</v>
      </c>
      <c r="H18" s="38">
        <v>43999</v>
      </c>
      <c r="I18" s="39">
        <v>820000</v>
      </c>
      <c r="J18" s="40">
        <v>0.45</v>
      </c>
      <c r="K18" s="37" t="s">
        <v>673</v>
      </c>
      <c r="L18" s="37" t="s">
        <v>4552</v>
      </c>
      <c r="M18" s="37" t="s">
        <v>4553</v>
      </c>
      <c r="N18" s="37" t="s">
        <v>4554</v>
      </c>
    </row>
    <row r="19" spans="1:14" ht="39.950000000000003" customHeight="1" x14ac:dyDescent="0.25">
      <c r="A19" s="36" t="s">
        <v>4557</v>
      </c>
      <c r="B19" s="37" t="s">
        <v>105</v>
      </c>
      <c r="C19" s="36">
        <v>9402390</v>
      </c>
      <c r="D19" s="37" t="s">
        <v>173</v>
      </c>
      <c r="E19" s="36" t="s">
        <v>4558</v>
      </c>
      <c r="F19" s="21" t="str">
        <f>HYPERLINK("https://psearch.kitsapgov.com/webappa/index.html?parcelID=1049113&amp;Theme=Imagery","1049113")</f>
        <v>1049113</v>
      </c>
      <c r="G19" s="37" t="s">
        <v>4559</v>
      </c>
      <c r="H19" s="38">
        <v>44028</v>
      </c>
      <c r="I19" s="39">
        <v>1475000</v>
      </c>
      <c r="J19" s="40">
        <v>0.66</v>
      </c>
      <c r="K19" s="37" t="s">
        <v>515</v>
      </c>
      <c r="L19" s="37" t="s">
        <v>4517</v>
      </c>
      <c r="M19" s="37" t="s">
        <v>4560</v>
      </c>
      <c r="N19" s="37" t="s">
        <v>4561</v>
      </c>
    </row>
    <row r="20" spans="1:14" ht="39.950000000000003" customHeight="1" x14ac:dyDescent="0.25">
      <c r="A20" s="36" t="s">
        <v>4562</v>
      </c>
      <c r="B20" s="37" t="s">
        <v>105</v>
      </c>
      <c r="C20" s="36">
        <v>9402390</v>
      </c>
      <c r="D20" s="37" t="s">
        <v>173</v>
      </c>
      <c r="E20" s="36" t="s">
        <v>4558</v>
      </c>
      <c r="F20" s="21" t="str">
        <f>HYPERLINK("https://psearch.kitsapgov.com/webappa/index.html?parcelID=1049113&amp;Theme=Imagery","1049113")</f>
        <v>1049113</v>
      </c>
      <c r="G20" s="37" t="s">
        <v>4559</v>
      </c>
      <c r="H20" s="38">
        <v>44029</v>
      </c>
      <c r="I20" s="39">
        <v>2200000</v>
      </c>
      <c r="J20" s="40">
        <v>0.66</v>
      </c>
      <c r="K20" s="37" t="s">
        <v>515</v>
      </c>
      <c r="L20" s="37" t="s">
        <v>4517</v>
      </c>
      <c r="M20" s="37" t="s">
        <v>4563</v>
      </c>
      <c r="N20" s="37" t="s">
        <v>4564</v>
      </c>
    </row>
    <row r="21" spans="1:14" ht="39.950000000000003" customHeight="1" x14ac:dyDescent="0.25">
      <c r="A21" s="36" t="s">
        <v>4565</v>
      </c>
      <c r="B21" s="37" t="s">
        <v>4072</v>
      </c>
      <c r="C21" s="36">
        <v>8402305</v>
      </c>
      <c r="D21" s="37" t="s">
        <v>452</v>
      </c>
      <c r="E21" s="36" t="s">
        <v>4566</v>
      </c>
      <c r="F21" s="21" t="str">
        <f>HYPERLINK("https://psearch.kitsapgov.com/webappa/index.html?parcelID=1171560&amp;Theme=Imagery","1171560")</f>
        <v>1171560</v>
      </c>
      <c r="G21" s="37" t="s">
        <v>4567</v>
      </c>
      <c r="H21" s="38">
        <v>44041</v>
      </c>
      <c r="I21" s="39">
        <v>750000</v>
      </c>
      <c r="J21" s="40">
        <v>0.3</v>
      </c>
      <c r="K21" s="37" t="s">
        <v>368</v>
      </c>
      <c r="L21" s="37" t="s">
        <v>38</v>
      </c>
      <c r="M21" s="37" t="s">
        <v>4568</v>
      </c>
      <c r="N21" s="37" t="s">
        <v>2036</v>
      </c>
    </row>
    <row r="22" spans="1:14" ht="20.100000000000001" customHeight="1" x14ac:dyDescent="0.25">
      <c r="A22" s="36" t="s">
        <v>4565</v>
      </c>
      <c r="B22" s="37" t="s">
        <v>4072</v>
      </c>
      <c r="C22" s="36">
        <v>8402305</v>
      </c>
      <c r="D22" s="37" t="s">
        <v>452</v>
      </c>
      <c r="E22" s="36" t="s">
        <v>4569</v>
      </c>
      <c r="F22" s="21" t="str">
        <f>HYPERLINK("https://psearch.kitsapgov.com/webappa/index.html?parcelID=2274371&amp;Theme=Imagery","2274371")</f>
        <v>2274371</v>
      </c>
      <c r="G22" s="37" t="s">
        <v>4570</v>
      </c>
      <c r="H22" s="38">
        <v>44041</v>
      </c>
      <c r="I22" s="39">
        <v>750000</v>
      </c>
      <c r="J22" s="40">
        <v>0.61</v>
      </c>
      <c r="K22" s="37" t="s">
        <v>368</v>
      </c>
      <c r="L22" s="37" t="s">
        <v>38</v>
      </c>
      <c r="M22" s="37" t="s">
        <v>4568</v>
      </c>
      <c r="N22" s="37" t="s">
        <v>2036</v>
      </c>
    </row>
    <row r="23" spans="1:14" ht="39.950000000000003" customHeight="1" x14ac:dyDescent="0.25">
      <c r="A23" s="36" t="s">
        <v>4571</v>
      </c>
      <c r="B23" s="37" t="s">
        <v>70</v>
      </c>
      <c r="C23" s="36">
        <v>8402307</v>
      </c>
      <c r="D23" s="37" t="s">
        <v>131</v>
      </c>
      <c r="E23" s="36" t="s">
        <v>4572</v>
      </c>
      <c r="F23" s="21" t="str">
        <f>HYPERLINK("https://psearch.kitsapgov.com/webappa/index.html?parcelID=1210137&amp;Theme=Imagery","1210137")</f>
        <v>1210137</v>
      </c>
      <c r="G23" s="37" t="s">
        <v>4573</v>
      </c>
      <c r="H23" s="38">
        <v>44043</v>
      </c>
      <c r="I23" s="39">
        <v>6750000</v>
      </c>
      <c r="J23" s="40">
        <v>0.24</v>
      </c>
      <c r="K23" s="37" t="s">
        <v>37</v>
      </c>
      <c r="L23" s="37" t="s">
        <v>4517</v>
      </c>
      <c r="M23" s="37" t="s">
        <v>4574</v>
      </c>
      <c r="N23" s="37" t="s">
        <v>4575</v>
      </c>
    </row>
    <row r="24" spans="1:14" ht="20.100000000000001" customHeight="1" x14ac:dyDescent="0.25">
      <c r="A24" s="36" t="s">
        <v>4571</v>
      </c>
      <c r="B24" s="37" t="s">
        <v>222</v>
      </c>
      <c r="C24" s="36">
        <v>8402307</v>
      </c>
      <c r="D24" s="37" t="s">
        <v>131</v>
      </c>
      <c r="E24" s="36" t="s">
        <v>4576</v>
      </c>
      <c r="F24" s="21" t="str">
        <f>HYPERLINK("https://psearch.kitsapgov.com/webappa/index.html?parcelID=2611317&amp;Theme=Imagery","2611317")</f>
        <v>2611317</v>
      </c>
      <c r="G24" s="37" t="s">
        <v>4577</v>
      </c>
      <c r="H24" s="38">
        <v>44043</v>
      </c>
      <c r="I24" s="39">
        <v>6750000</v>
      </c>
      <c r="J24" s="40">
        <v>4.1900000000000004</v>
      </c>
      <c r="K24" s="37" t="s">
        <v>37</v>
      </c>
      <c r="L24" s="37" t="s">
        <v>4517</v>
      </c>
      <c r="M24" s="37" t="s">
        <v>4574</v>
      </c>
      <c r="N24" s="37" t="s">
        <v>4575</v>
      </c>
    </row>
    <row r="25" spans="1:14" ht="20.100000000000001" customHeight="1" x14ac:dyDescent="0.25">
      <c r="A25" s="36" t="s">
        <v>4571</v>
      </c>
      <c r="B25" s="37" t="s">
        <v>159</v>
      </c>
      <c r="C25" s="36">
        <v>8402307</v>
      </c>
      <c r="D25" s="37" t="s">
        <v>131</v>
      </c>
      <c r="E25" s="36" t="s">
        <v>4578</v>
      </c>
      <c r="F25" s="21" t="str">
        <f>HYPERLINK("https://psearch.kitsapgov.com/webappa/index.html?parcelID=2611325&amp;Theme=Imagery","2611325")</f>
        <v>2611325</v>
      </c>
      <c r="G25" s="37" t="s">
        <v>4579</v>
      </c>
      <c r="H25" s="38">
        <v>44043</v>
      </c>
      <c r="I25" s="39">
        <v>6750000</v>
      </c>
      <c r="J25" s="40">
        <v>0.26</v>
      </c>
      <c r="K25" s="37" t="s">
        <v>37</v>
      </c>
      <c r="L25" s="37" t="s">
        <v>4517</v>
      </c>
      <c r="M25" s="37" t="s">
        <v>4574</v>
      </c>
      <c r="N25" s="37" t="s">
        <v>4575</v>
      </c>
    </row>
    <row r="26" spans="1:14" ht="39.950000000000003" customHeight="1" x14ac:dyDescent="0.25">
      <c r="A26" s="36" t="s">
        <v>4580</v>
      </c>
      <c r="B26" s="37" t="s">
        <v>105</v>
      </c>
      <c r="C26" s="36">
        <v>8402307</v>
      </c>
      <c r="D26" s="37" t="s">
        <v>131</v>
      </c>
      <c r="E26" s="36" t="s">
        <v>4581</v>
      </c>
      <c r="F26" s="21" t="str">
        <f>HYPERLINK("https://psearch.kitsapgov.com/webappa/index.html?parcelID=1761394&amp;Theme=Imagery","1761394")</f>
        <v>1761394</v>
      </c>
      <c r="G26" s="37" t="s">
        <v>4582</v>
      </c>
      <c r="H26" s="38">
        <v>44043</v>
      </c>
      <c r="I26" s="39">
        <v>600000</v>
      </c>
      <c r="J26" s="40">
        <v>0.49</v>
      </c>
      <c r="K26" s="37" t="s">
        <v>368</v>
      </c>
      <c r="L26" s="37" t="s">
        <v>4517</v>
      </c>
      <c r="M26" s="37" t="s">
        <v>4583</v>
      </c>
      <c r="N26" s="37" t="s">
        <v>4584</v>
      </c>
    </row>
    <row r="27" spans="1:14" ht="20.100000000000001" customHeight="1" x14ac:dyDescent="0.25">
      <c r="A27" s="36" t="s">
        <v>4580</v>
      </c>
      <c r="B27" s="37" t="s">
        <v>105</v>
      </c>
      <c r="C27" s="36">
        <v>8402307</v>
      </c>
      <c r="D27" s="37" t="s">
        <v>131</v>
      </c>
      <c r="E27" s="36" t="s">
        <v>4585</v>
      </c>
      <c r="F27" s="21" t="str">
        <f>HYPERLINK("https://psearch.kitsapgov.com/webappa/index.html?parcelID=1761402&amp;Theme=Imagery","1761402")</f>
        <v>1761402</v>
      </c>
      <c r="G27" s="37" t="s">
        <v>4586</v>
      </c>
      <c r="H27" s="38">
        <v>44043</v>
      </c>
      <c r="I27" s="39">
        <v>600000</v>
      </c>
      <c r="J27" s="40">
        <v>0.48</v>
      </c>
      <c r="K27" s="37" t="s">
        <v>368</v>
      </c>
      <c r="L27" s="37" t="s">
        <v>4517</v>
      </c>
      <c r="M27" s="37" t="s">
        <v>4583</v>
      </c>
      <c r="N27" s="37" t="s">
        <v>4584</v>
      </c>
    </row>
    <row r="28" spans="1:14" ht="39.950000000000003" customHeight="1" x14ac:dyDescent="0.25">
      <c r="A28" s="36" t="s">
        <v>4587</v>
      </c>
      <c r="B28" s="37" t="s">
        <v>70</v>
      </c>
      <c r="C28" s="36">
        <v>8100502</v>
      </c>
      <c r="D28" s="37" t="s">
        <v>142</v>
      </c>
      <c r="E28" s="36" t="s">
        <v>4588</v>
      </c>
      <c r="F28" s="21" t="str">
        <f>HYPERLINK("https://psearch.kitsapgov.com/webappa/index.html?parcelID=1157122&amp;Theme=Imagery","1157122")</f>
        <v>1157122</v>
      </c>
      <c r="G28" s="37" t="s">
        <v>4589</v>
      </c>
      <c r="H28" s="38">
        <v>44049</v>
      </c>
      <c r="I28" s="39">
        <v>2025000</v>
      </c>
      <c r="J28" s="40">
        <v>0.99</v>
      </c>
      <c r="K28" s="37" t="s">
        <v>145</v>
      </c>
      <c r="L28" s="37" t="s">
        <v>4517</v>
      </c>
      <c r="M28" s="37" t="s">
        <v>4590</v>
      </c>
      <c r="N28" s="37" t="s">
        <v>4591</v>
      </c>
    </row>
    <row r="29" spans="1:14" ht="20.100000000000001" customHeight="1" x14ac:dyDescent="0.25">
      <c r="A29" s="36" t="s">
        <v>4587</v>
      </c>
      <c r="B29" s="37" t="s">
        <v>70</v>
      </c>
      <c r="C29" s="36">
        <v>8100502</v>
      </c>
      <c r="D29" s="37" t="s">
        <v>142</v>
      </c>
      <c r="E29" s="36" t="s">
        <v>4592</v>
      </c>
      <c r="F29" s="21" t="str">
        <f>HYPERLINK("https://psearch.kitsapgov.com/webappa/index.html?parcelID=1157130&amp;Theme=Imagery","1157130")</f>
        <v>1157130</v>
      </c>
      <c r="G29" s="37" t="s">
        <v>4593</v>
      </c>
      <c r="H29" s="38">
        <v>44049</v>
      </c>
      <c r="I29" s="39">
        <v>2025000</v>
      </c>
      <c r="J29" s="40">
        <v>0.44</v>
      </c>
      <c r="K29" s="37" t="s">
        <v>145</v>
      </c>
      <c r="L29" s="37" t="s">
        <v>4517</v>
      </c>
      <c r="M29" s="37" t="s">
        <v>4590</v>
      </c>
      <c r="N29" s="37" t="s">
        <v>4591</v>
      </c>
    </row>
    <row r="30" spans="1:14" ht="39.950000000000003" customHeight="1" x14ac:dyDescent="0.25">
      <c r="A30" s="36" t="s">
        <v>4594</v>
      </c>
      <c r="B30" s="37" t="s">
        <v>3627</v>
      </c>
      <c r="C30" s="36">
        <v>7402390</v>
      </c>
      <c r="D30" s="37" t="s">
        <v>4527</v>
      </c>
      <c r="E30" s="36" t="s">
        <v>4595</v>
      </c>
      <c r="F30" s="21" t="str">
        <f>HYPERLINK("https://psearch.kitsapgov.com/webappa/index.html?parcelID=1051150&amp;Theme=Imagery","1051150")</f>
        <v>1051150</v>
      </c>
      <c r="G30" s="37" t="s">
        <v>3019</v>
      </c>
      <c r="H30" s="38">
        <v>44063</v>
      </c>
      <c r="I30" s="39">
        <v>252000</v>
      </c>
      <c r="J30" s="40">
        <v>1.43</v>
      </c>
      <c r="K30" s="37" t="s">
        <v>176</v>
      </c>
      <c r="L30" s="37" t="s">
        <v>190</v>
      </c>
      <c r="M30" s="37" t="s">
        <v>4596</v>
      </c>
      <c r="N30" s="37" t="s">
        <v>4597</v>
      </c>
    </row>
    <row r="31" spans="1:14" ht="39.950000000000003" customHeight="1" x14ac:dyDescent="0.25">
      <c r="A31" s="36" t="s">
        <v>4598</v>
      </c>
      <c r="B31" s="37" t="s">
        <v>909</v>
      </c>
      <c r="C31" s="36">
        <v>8100502</v>
      </c>
      <c r="D31" s="37" t="s">
        <v>142</v>
      </c>
      <c r="E31" s="36" t="s">
        <v>4599</v>
      </c>
      <c r="F31" s="21" t="str">
        <f>HYPERLINK("https://psearch.kitsapgov.com/webappa/index.html?parcelID=1429802&amp;Theme=Imagery","1429802")</f>
        <v>1429802</v>
      </c>
      <c r="G31" s="37" t="s">
        <v>4600</v>
      </c>
      <c r="H31" s="38">
        <v>44089</v>
      </c>
      <c r="I31" s="39">
        <v>610000</v>
      </c>
      <c r="J31" s="40">
        <v>1.04</v>
      </c>
      <c r="K31" s="37" t="s">
        <v>145</v>
      </c>
      <c r="L31" s="37" t="s">
        <v>4517</v>
      </c>
      <c r="M31" s="37" t="s">
        <v>4601</v>
      </c>
      <c r="N31" s="37" t="s">
        <v>4602</v>
      </c>
    </row>
    <row r="32" spans="1:14" ht="20.100000000000001" customHeight="1" x14ac:dyDescent="0.25">
      <c r="A32" s="36" t="s">
        <v>4598</v>
      </c>
      <c r="B32" s="37" t="s">
        <v>4603</v>
      </c>
      <c r="C32" s="36">
        <v>7100541</v>
      </c>
      <c r="D32" s="37" t="s">
        <v>4507</v>
      </c>
      <c r="E32" s="36" t="s">
        <v>4604</v>
      </c>
      <c r="F32" s="21" t="str">
        <f>HYPERLINK("https://psearch.kitsapgov.com/webappa/index.html?parcelID=1892553&amp;Theme=Imagery","1892553")</f>
        <v>1892553</v>
      </c>
      <c r="G32" s="37" t="s">
        <v>3019</v>
      </c>
      <c r="H32" s="38">
        <v>44089</v>
      </c>
      <c r="I32" s="39">
        <v>610000</v>
      </c>
      <c r="J32" s="40">
        <v>0</v>
      </c>
      <c r="L32" s="37" t="s">
        <v>4552</v>
      </c>
      <c r="M32" s="37" t="s">
        <v>4605</v>
      </c>
      <c r="N32" s="37" t="s">
        <v>4606</v>
      </c>
    </row>
    <row r="33" spans="1:14" ht="20.100000000000001" customHeight="1" x14ac:dyDescent="0.25">
      <c r="A33" s="36" t="s">
        <v>4598</v>
      </c>
      <c r="B33" s="37" t="s">
        <v>4603</v>
      </c>
      <c r="C33" s="36">
        <v>7100541</v>
      </c>
      <c r="D33" s="37" t="s">
        <v>4507</v>
      </c>
      <c r="E33" s="36" t="s">
        <v>4607</v>
      </c>
      <c r="F33" s="21" t="str">
        <f>HYPERLINK("https://psearch.kitsapgov.com/webappa/index.html?parcelID=1892587&amp;Theme=Imagery","1892587")</f>
        <v>1892587</v>
      </c>
      <c r="G33" s="37" t="s">
        <v>3019</v>
      </c>
      <c r="H33" s="38">
        <v>44089</v>
      </c>
      <c r="I33" s="39">
        <v>610000</v>
      </c>
      <c r="J33" s="40">
        <v>0</v>
      </c>
      <c r="L33" s="37" t="s">
        <v>4552</v>
      </c>
      <c r="M33" s="37" t="s">
        <v>4605</v>
      </c>
      <c r="N33" s="37" t="s">
        <v>4606</v>
      </c>
    </row>
    <row r="34" spans="1:14" ht="20.100000000000001" customHeight="1" x14ac:dyDescent="0.25">
      <c r="A34" s="36" t="s">
        <v>4598</v>
      </c>
      <c r="B34" s="37" t="s">
        <v>4603</v>
      </c>
      <c r="C34" s="36">
        <v>7100541</v>
      </c>
      <c r="D34" s="37" t="s">
        <v>4507</v>
      </c>
      <c r="E34" s="36" t="s">
        <v>4608</v>
      </c>
      <c r="F34" s="21" t="str">
        <f>HYPERLINK("https://psearch.kitsapgov.com/webappa/index.html?parcelID=1892595&amp;Theme=Imagery","1892595")</f>
        <v>1892595</v>
      </c>
      <c r="G34" s="37" t="s">
        <v>3019</v>
      </c>
      <c r="H34" s="38">
        <v>44089</v>
      </c>
      <c r="I34" s="39">
        <v>610000</v>
      </c>
      <c r="J34" s="40">
        <v>0</v>
      </c>
      <c r="L34" s="37" t="s">
        <v>4552</v>
      </c>
      <c r="M34" s="37" t="s">
        <v>4605</v>
      </c>
      <c r="N34" s="37" t="s">
        <v>4606</v>
      </c>
    </row>
    <row r="35" spans="1:14" ht="20.100000000000001" customHeight="1" x14ac:dyDescent="0.25">
      <c r="A35" s="36" t="s">
        <v>4598</v>
      </c>
      <c r="B35" s="37" t="s">
        <v>4603</v>
      </c>
      <c r="C35" s="36">
        <v>7100541</v>
      </c>
      <c r="D35" s="37" t="s">
        <v>4507</v>
      </c>
      <c r="E35" s="36" t="s">
        <v>4609</v>
      </c>
      <c r="F35" s="21" t="str">
        <f>HYPERLINK("https://psearch.kitsapgov.com/webappa/index.html?parcelID=1892603&amp;Theme=Imagery","1892603")</f>
        <v>1892603</v>
      </c>
      <c r="G35" s="37" t="s">
        <v>3019</v>
      </c>
      <c r="H35" s="38">
        <v>44089</v>
      </c>
      <c r="I35" s="39">
        <v>610000</v>
      </c>
      <c r="J35" s="40">
        <v>0</v>
      </c>
      <c r="L35" s="37" t="s">
        <v>4552</v>
      </c>
      <c r="M35" s="37" t="s">
        <v>4605</v>
      </c>
      <c r="N35" s="37" t="s">
        <v>4606</v>
      </c>
    </row>
    <row r="36" spans="1:14" ht="20.100000000000001" customHeight="1" x14ac:dyDescent="0.25">
      <c r="A36" s="36" t="s">
        <v>4598</v>
      </c>
      <c r="B36" s="37" t="s">
        <v>4603</v>
      </c>
      <c r="C36" s="36">
        <v>7100541</v>
      </c>
      <c r="D36" s="37" t="s">
        <v>4507</v>
      </c>
      <c r="E36" s="36" t="s">
        <v>4610</v>
      </c>
      <c r="F36" s="21" t="str">
        <f>HYPERLINK("https://psearch.kitsapgov.com/webappa/index.html?parcelID=1892611&amp;Theme=Imagery","1892611")</f>
        <v>1892611</v>
      </c>
      <c r="G36" s="37" t="s">
        <v>3019</v>
      </c>
      <c r="H36" s="38">
        <v>44089</v>
      </c>
      <c r="I36" s="39">
        <v>610000</v>
      </c>
      <c r="J36" s="40">
        <v>0</v>
      </c>
      <c r="L36" s="37" t="s">
        <v>4552</v>
      </c>
      <c r="M36" s="37" t="s">
        <v>4601</v>
      </c>
      <c r="N36" s="37" t="s">
        <v>4602</v>
      </c>
    </row>
    <row r="37" spans="1:14" ht="20.100000000000001" customHeight="1" x14ac:dyDescent="0.25">
      <c r="A37" s="36" t="s">
        <v>4598</v>
      </c>
      <c r="B37" s="37" t="s">
        <v>4603</v>
      </c>
      <c r="C37" s="36">
        <v>7100541</v>
      </c>
      <c r="D37" s="37" t="s">
        <v>4507</v>
      </c>
      <c r="E37" s="36" t="s">
        <v>4611</v>
      </c>
      <c r="F37" s="21" t="str">
        <f>HYPERLINK("https://psearch.kitsapgov.com/webappa/index.html?parcelID=1892629&amp;Theme=Imagery","1892629")</f>
        <v>1892629</v>
      </c>
      <c r="G37" s="37" t="s">
        <v>3019</v>
      </c>
      <c r="H37" s="38">
        <v>44089</v>
      </c>
      <c r="I37" s="39">
        <v>610000</v>
      </c>
      <c r="J37" s="40">
        <v>0</v>
      </c>
      <c r="L37" s="37" t="s">
        <v>4552</v>
      </c>
      <c r="M37" s="37" t="s">
        <v>4605</v>
      </c>
      <c r="N37" s="37" t="s">
        <v>4606</v>
      </c>
    </row>
    <row r="38" spans="1:14" ht="20.100000000000001" customHeight="1" x14ac:dyDescent="0.25">
      <c r="A38" s="36" t="s">
        <v>4598</v>
      </c>
      <c r="B38" s="37" t="s">
        <v>4603</v>
      </c>
      <c r="C38" s="36">
        <v>7100541</v>
      </c>
      <c r="D38" s="37" t="s">
        <v>4507</v>
      </c>
      <c r="E38" s="36" t="s">
        <v>4612</v>
      </c>
      <c r="F38" s="21" t="str">
        <f>HYPERLINK("https://psearch.kitsapgov.com/webappa/index.html?parcelID=1892637&amp;Theme=Imagery","1892637")</f>
        <v>1892637</v>
      </c>
      <c r="G38" s="37" t="s">
        <v>3019</v>
      </c>
      <c r="H38" s="38">
        <v>44089</v>
      </c>
      <c r="I38" s="39">
        <v>610000</v>
      </c>
      <c r="J38" s="40">
        <v>0</v>
      </c>
      <c r="L38" s="37" t="s">
        <v>4552</v>
      </c>
      <c r="M38" s="37" t="s">
        <v>4605</v>
      </c>
      <c r="N38" s="37" t="s">
        <v>4606</v>
      </c>
    </row>
    <row r="39" spans="1:14" ht="20.100000000000001" customHeight="1" x14ac:dyDescent="0.25">
      <c r="A39" s="36" t="s">
        <v>4598</v>
      </c>
      <c r="B39" s="37" t="s">
        <v>4603</v>
      </c>
      <c r="C39" s="36">
        <v>7100541</v>
      </c>
      <c r="D39" s="37" t="s">
        <v>4507</v>
      </c>
      <c r="E39" s="36" t="s">
        <v>4613</v>
      </c>
      <c r="F39" s="21" t="str">
        <f>HYPERLINK("https://psearch.kitsapgov.com/webappa/index.html?parcelID=1892652&amp;Theme=Imagery","1892652")</f>
        <v>1892652</v>
      </c>
      <c r="G39" s="37" t="s">
        <v>3019</v>
      </c>
      <c r="H39" s="38">
        <v>44089</v>
      </c>
      <c r="I39" s="39">
        <v>610000</v>
      </c>
      <c r="J39" s="40">
        <v>0</v>
      </c>
      <c r="L39" s="37" t="s">
        <v>4552</v>
      </c>
      <c r="M39" s="37" t="s">
        <v>4605</v>
      </c>
      <c r="N39" s="37" t="s">
        <v>4606</v>
      </c>
    </row>
    <row r="40" spans="1:14" ht="20.100000000000001" customHeight="1" x14ac:dyDescent="0.25">
      <c r="A40" s="36" t="s">
        <v>4598</v>
      </c>
      <c r="B40" s="37" t="s">
        <v>4603</v>
      </c>
      <c r="C40" s="36">
        <v>7100541</v>
      </c>
      <c r="D40" s="37" t="s">
        <v>4507</v>
      </c>
      <c r="E40" s="36" t="s">
        <v>4614</v>
      </c>
      <c r="F40" s="21" t="str">
        <f>HYPERLINK("https://psearch.kitsapgov.com/webappa/index.html?parcelID=1892660&amp;Theme=Imagery","1892660")</f>
        <v>1892660</v>
      </c>
      <c r="G40" s="37" t="s">
        <v>3019</v>
      </c>
      <c r="H40" s="38">
        <v>44089</v>
      </c>
      <c r="I40" s="39">
        <v>610000</v>
      </c>
      <c r="J40" s="40">
        <v>0</v>
      </c>
      <c r="L40" s="37" t="s">
        <v>4552</v>
      </c>
      <c r="M40" s="37" t="s">
        <v>4605</v>
      </c>
      <c r="N40" s="37" t="s">
        <v>4606</v>
      </c>
    </row>
    <row r="41" spans="1:14" ht="20.100000000000001" customHeight="1" x14ac:dyDescent="0.25">
      <c r="A41" s="36" t="s">
        <v>4598</v>
      </c>
      <c r="B41" s="37" t="s">
        <v>4603</v>
      </c>
      <c r="C41" s="36">
        <v>7100541</v>
      </c>
      <c r="D41" s="37" t="s">
        <v>4507</v>
      </c>
      <c r="E41" s="36" t="s">
        <v>4615</v>
      </c>
      <c r="F41" s="21" t="str">
        <f>HYPERLINK("https://psearch.kitsapgov.com/webappa/index.html?parcelID=1892678&amp;Theme=Imagery","1892678")</f>
        <v>1892678</v>
      </c>
      <c r="G41" s="37" t="s">
        <v>3019</v>
      </c>
      <c r="H41" s="38">
        <v>44089</v>
      </c>
      <c r="I41" s="39">
        <v>610000</v>
      </c>
      <c r="J41" s="40">
        <v>0</v>
      </c>
      <c r="L41" s="37" t="s">
        <v>4552</v>
      </c>
      <c r="M41" s="37" t="s">
        <v>4601</v>
      </c>
      <c r="N41" s="37" t="s">
        <v>4602</v>
      </c>
    </row>
    <row r="42" spans="1:14" ht="20.100000000000001" customHeight="1" x14ac:dyDescent="0.25">
      <c r="A42" s="36" t="s">
        <v>4598</v>
      </c>
      <c r="B42" s="37" t="s">
        <v>4603</v>
      </c>
      <c r="C42" s="36">
        <v>7100541</v>
      </c>
      <c r="D42" s="37" t="s">
        <v>4507</v>
      </c>
      <c r="E42" s="36" t="s">
        <v>4616</v>
      </c>
      <c r="F42" s="21" t="str">
        <f>HYPERLINK("https://psearch.kitsapgov.com/webappa/index.html?parcelID=1892710&amp;Theme=Imagery","1892710")</f>
        <v>1892710</v>
      </c>
      <c r="G42" s="37" t="s">
        <v>3019</v>
      </c>
      <c r="H42" s="38">
        <v>44089</v>
      </c>
      <c r="I42" s="39">
        <v>610000</v>
      </c>
      <c r="J42" s="40">
        <v>0</v>
      </c>
      <c r="L42" s="37" t="s">
        <v>4552</v>
      </c>
      <c r="M42" s="37" t="s">
        <v>4605</v>
      </c>
      <c r="N42" s="37" t="s">
        <v>4606</v>
      </c>
    </row>
    <row r="43" spans="1:14" ht="20.100000000000001" customHeight="1" x14ac:dyDescent="0.25">
      <c r="A43" s="36" t="s">
        <v>4598</v>
      </c>
      <c r="B43" s="37" t="s">
        <v>4603</v>
      </c>
      <c r="C43" s="36">
        <v>7100541</v>
      </c>
      <c r="D43" s="37" t="s">
        <v>4507</v>
      </c>
      <c r="E43" s="36" t="s">
        <v>4617</v>
      </c>
      <c r="F43" s="21" t="str">
        <f>HYPERLINK("https://psearch.kitsapgov.com/webappa/index.html?parcelID=2511277&amp;Theme=Imagery","2511277")</f>
        <v>2511277</v>
      </c>
      <c r="G43" s="37" t="s">
        <v>3019</v>
      </c>
      <c r="H43" s="38">
        <v>44089</v>
      </c>
      <c r="I43" s="39">
        <v>610000</v>
      </c>
      <c r="J43" s="40">
        <v>0</v>
      </c>
      <c r="L43" s="37" t="s">
        <v>4552</v>
      </c>
      <c r="M43" s="37" t="s">
        <v>4605</v>
      </c>
      <c r="N43" s="37" t="s">
        <v>4606</v>
      </c>
    </row>
    <row r="44" spans="1:14" ht="39.950000000000003" customHeight="1" x14ac:dyDescent="0.25">
      <c r="A44" s="36" t="s">
        <v>4618</v>
      </c>
      <c r="B44" s="37" t="s">
        <v>909</v>
      </c>
      <c r="C44" s="36">
        <v>9401118</v>
      </c>
      <c r="D44" s="37" t="s">
        <v>4619</v>
      </c>
      <c r="E44" s="36" t="s">
        <v>4620</v>
      </c>
      <c r="F44" s="21" t="str">
        <f>HYPERLINK("https://psearch.kitsapgov.com/webappa/index.html?parcelID=2226843&amp;Theme=Imagery","2226843")</f>
        <v>2226843</v>
      </c>
      <c r="G44" s="37" t="s">
        <v>4621</v>
      </c>
      <c r="H44" s="38">
        <v>44089</v>
      </c>
      <c r="I44" s="39">
        <v>980000</v>
      </c>
      <c r="J44" s="40">
        <v>26.76</v>
      </c>
      <c r="K44" s="37" t="s">
        <v>205</v>
      </c>
      <c r="L44" s="37" t="s">
        <v>213</v>
      </c>
      <c r="M44" s="37" t="s">
        <v>4622</v>
      </c>
      <c r="N44" s="37" t="s">
        <v>4623</v>
      </c>
    </row>
    <row r="45" spans="1:14" ht="20.100000000000001" customHeight="1" x14ac:dyDescent="0.25">
      <c r="A45" s="36" t="s">
        <v>4618</v>
      </c>
      <c r="B45" s="37" t="s">
        <v>4603</v>
      </c>
      <c r="C45" s="36">
        <v>7401118</v>
      </c>
      <c r="D45" s="37" t="s">
        <v>4624</v>
      </c>
      <c r="E45" s="36" t="s">
        <v>4625</v>
      </c>
      <c r="F45" s="21" t="str">
        <f>HYPERLINK("https://psearch.kitsapgov.com/webappa/index.html?parcelID=1902436&amp;Theme=Imagery","1902436")</f>
        <v>1902436</v>
      </c>
      <c r="G45" s="37" t="s">
        <v>3019</v>
      </c>
      <c r="H45" s="38">
        <v>44089</v>
      </c>
      <c r="I45" s="39">
        <v>980000</v>
      </c>
      <c r="J45" s="40">
        <v>0</v>
      </c>
      <c r="L45" s="37" t="s">
        <v>213</v>
      </c>
      <c r="M45" s="37" t="s">
        <v>4622</v>
      </c>
      <c r="N45" s="37" t="s">
        <v>4623</v>
      </c>
    </row>
    <row r="46" spans="1:14" ht="39.950000000000003" customHeight="1" x14ac:dyDescent="0.25">
      <c r="A46" s="36" t="s">
        <v>4626</v>
      </c>
      <c r="B46" s="37" t="s">
        <v>78</v>
      </c>
      <c r="C46" s="36">
        <v>8400301</v>
      </c>
      <c r="D46" s="37" t="s">
        <v>1850</v>
      </c>
      <c r="E46" s="36" t="s">
        <v>4627</v>
      </c>
      <c r="F46" s="21" t="str">
        <f>HYPERLINK("https://psearch.kitsapgov.com/webappa/index.html?parcelID=2574473&amp;Theme=Imagery","2574473")</f>
        <v>2574473</v>
      </c>
      <c r="G46" s="37" t="s">
        <v>4628</v>
      </c>
      <c r="H46" s="38">
        <v>44105</v>
      </c>
      <c r="I46" s="39">
        <v>700000</v>
      </c>
      <c r="J46" s="40">
        <v>1.08</v>
      </c>
      <c r="K46" s="37" t="s">
        <v>37</v>
      </c>
      <c r="L46" s="37" t="s">
        <v>4517</v>
      </c>
      <c r="M46" s="37" t="s">
        <v>4001</v>
      </c>
      <c r="N46" s="37" t="s">
        <v>4629</v>
      </c>
    </row>
    <row r="47" spans="1:14" ht="20.100000000000001" customHeight="1" x14ac:dyDescent="0.25">
      <c r="A47" s="36" t="s">
        <v>4626</v>
      </c>
      <c r="B47" s="37" t="s">
        <v>105</v>
      </c>
      <c r="C47" s="36">
        <v>8400301</v>
      </c>
      <c r="D47" s="37" t="s">
        <v>1850</v>
      </c>
      <c r="E47" s="36" t="s">
        <v>4630</v>
      </c>
      <c r="F47" s="21" t="str">
        <f>HYPERLINK("https://psearch.kitsapgov.com/webappa/index.html?parcelID=2574481&amp;Theme=Imagery","2574481")</f>
        <v>2574481</v>
      </c>
      <c r="G47" s="37" t="s">
        <v>4631</v>
      </c>
      <c r="H47" s="38">
        <v>44105</v>
      </c>
      <c r="I47" s="39">
        <v>700000</v>
      </c>
      <c r="J47" s="40">
        <v>0.7</v>
      </c>
      <c r="K47" s="37" t="s">
        <v>37</v>
      </c>
      <c r="L47" s="37" t="s">
        <v>4517</v>
      </c>
      <c r="M47" s="37" t="s">
        <v>4001</v>
      </c>
      <c r="N47" s="37" t="s">
        <v>4629</v>
      </c>
    </row>
    <row r="48" spans="1:14" ht="39.950000000000003" customHeight="1" x14ac:dyDescent="0.25">
      <c r="A48" s="36" t="s">
        <v>4632</v>
      </c>
      <c r="B48" s="37" t="s">
        <v>16</v>
      </c>
      <c r="C48" s="36">
        <v>8303601</v>
      </c>
      <c r="D48" s="37" t="s">
        <v>25</v>
      </c>
      <c r="E48" s="36" t="s">
        <v>2748</v>
      </c>
      <c r="F48" s="21" t="str">
        <f>HYPERLINK("https://psearch.kitsapgov.com/webappa/index.html?parcelID=2640068&amp;Theme=Imagery","2640068")</f>
        <v>2640068</v>
      </c>
      <c r="G48" s="37" t="s">
        <v>2749</v>
      </c>
      <c r="H48" s="38">
        <v>44125</v>
      </c>
      <c r="I48" s="39">
        <v>1640000</v>
      </c>
      <c r="J48" s="40">
        <v>0</v>
      </c>
      <c r="L48" s="37" t="s">
        <v>4517</v>
      </c>
      <c r="M48" s="37" t="s">
        <v>59</v>
      </c>
      <c r="N48" s="37" t="s">
        <v>4633</v>
      </c>
    </row>
    <row r="49" spans="1:14" ht="20.100000000000001" customHeight="1" x14ac:dyDescent="0.25">
      <c r="A49" s="36" t="s">
        <v>4632</v>
      </c>
      <c r="B49" s="37" t="s">
        <v>4634</v>
      </c>
      <c r="C49" s="36">
        <v>7303607</v>
      </c>
      <c r="D49" s="37" t="s">
        <v>4635</v>
      </c>
      <c r="E49" s="36" t="s">
        <v>4636</v>
      </c>
      <c r="F49" s="21" t="str">
        <f>HYPERLINK("https://psearch.kitsapgov.com/webappa/index.html?parcelID=2640092&amp;Theme=Imagery","2640092")</f>
        <v>2640092</v>
      </c>
      <c r="G49" s="37" t="s">
        <v>3019</v>
      </c>
      <c r="H49" s="38">
        <v>44125</v>
      </c>
      <c r="I49" s="39">
        <v>1640000</v>
      </c>
      <c r="J49" s="40">
        <v>0</v>
      </c>
      <c r="L49" s="37" t="s">
        <v>4517</v>
      </c>
      <c r="M49" s="37" t="s">
        <v>4637</v>
      </c>
      <c r="N49" s="37" t="s">
        <v>4633</v>
      </c>
    </row>
    <row r="50" spans="1:14" ht="39.950000000000003" customHeight="1" x14ac:dyDescent="0.25">
      <c r="A50" s="36" t="s">
        <v>4638</v>
      </c>
      <c r="B50" s="37" t="s">
        <v>185</v>
      </c>
      <c r="C50" s="36">
        <v>9402390</v>
      </c>
      <c r="D50" s="37" t="s">
        <v>173</v>
      </c>
      <c r="E50" s="36" t="s">
        <v>4639</v>
      </c>
      <c r="F50" s="21" t="str">
        <f>HYPERLINK("https://psearch.kitsapgov.com/webappa/index.html?parcelID=2493682&amp;Theme=Imagery","2493682")</f>
        <v>2493682</v>
      </c>
      <c r="G50" s="37" t="s">
        <v>4640</v>
      </c>
      <c r="H50" s="38">
        <v>44128</v>
      </c>
      <c r="I50" s="39">
        <v>800000</v>
      </c>
      <c r="J50" s="40">
        <v>1.08</v>
      </c>
      <c r="K50" s="37" t="s">
        <v>874</v>
      </c>
      <c r="L50" s="37" t="s">
        <v>4552</v>
      </c>
      <c r="M50" s="37" t="s">
        <v>4641</v>
      </c>
      <c r="N50" s="37" t="s">
        <v>4642</v>
      </c>
    </row>
    <row r="51" spans="1:14" ht="20.100000000000001" customHeight="1" x14ac:dyDescent="0.25">
      <c r="A51" s="36" t="s">
        <v>4638</v>
      </c>
      <c r="B51" s="37" t="s">
        <v>105</v>
      </c>
      <c r="C51" s="36">
        <v>7402390</v>
      </c>
      <c r="D51" s="37" t="s">
        <v>4527</v>
      </c>
      <c r="E51" s="36" t="s">
        <v>4643</v>
      </c>
      <c r="F51" s="21" t="str">
        <f>HYPERLINK("https://psearch.kitsapgov.com/webappa/index.html?parcelID=2493708&amp;Theme=Imagery","2493708")</f>
        <v>2493708</v>
      </c>
      <c r="G51" s="37" t="s">
        <v>3019</v>
      </c>
      <c r="H51" s="38">
        <v>44128</v>
      </c>
      <c r="I51" s="39">
        <v>800000</v>
      </c>
      <c r="J51" s="40">
        <v>0.14000000000000001</v>
      </c>
      <c r="K51" s="37" t="s">
        <v>874</v>
      </c>
      <c r="L51" s="37" t="s">
        <v>4552</v>
      </c>
      <c r="M51" s="37" t="s">
        <v>4641</v>
      </c>
      <c r="N51" s="37" t="s">
        <v>4642</v>
      </c>
    </row>
    <row r="52" spans="1:14" ht="39.950000000000003" customHeight="1" x14ac:dyDescent="0.25">
      <c r="A52" s="36" t="s">
        <v>4644</v>
      </c>
      <c r="B52" s="37" t="s">
        <v>24</v>
      </c>
      <c r="C52" s="36">
        <v>8100501</v>
      </c>
      <c r="D52" s="37" t="s">
        <v>63</v>
      </c>
      <c r="E52" s="36" t="s">
        <v>4645</v>
      </c>
      <c r="F52" s="21" t="str">
        <f>HYPERLINK("https://psearch.kitsapgov.com/webappa/index.html?parcelID=1427566&amp;Theme=Imagery","1427566")</f>
        <v>1427566</v>
      </c>
      <c r="G52" s="37" t="s">
        <v>4646</v>
      </c>
      <c r="H52" s="38">
        <v>44159</v>
      </c>
      <c r="I52" s="39">
        <v>1800000</v>
      </c>
      <c r="J52" s="40">
        <v>0.43</v>
      </c>
      <c r="K52" s="37" t="s">
        <v>66</v>
      </c>
      <c r="L52" s="37" t="s">
        <v>4517</v>
      </c>
      <c r="M52" s="37" t="s">
        <v>4647</v>
      </c>
      <c r="N52" s="37" t="s">
        <v>4648</v>
      </c>
    </row>
    <row r="53" spans="1:14" ht="20.100000000000001" customHeight="1" x14ac:dyDescent="0.25">
      <c r="A53" s="36" t="s">
        <v>4644</v>
      </c>
      <c r="B53" s="37" t="s">
        <v>459</v>
      </c>
      <c r="C53" s="36">
        <v>8100501</v>
      </c>
      <c r="D53" s="37" t="s">
        <v>63</v>
      </c>
      <c r="E53" s="36" t="s">
        <v>4649</v>
      </c>
      <c r="F53" s="21" t="str">
        <f>HYPERLINK("https://psearch.kitsapgov.com/webappa/index.html?parcelID=1427673&amp;Theme=Imagery","1427673")</f>
        <v>1427673</v>
      </c>
      <c r="G53" s="37" t="s">
        <v>4650</v>
      </c>
      <c r="H53" s="38">
        <v>44159</v>
      </c>
      <c r="I53" s="39">
        <v>1800000</v>
      </c>
      <c r="J53" s="40">
        <v>7.0000000000000007E-2</v>
      </c>
      <c r="K53" s="37" t="s">
        <v>93</v>
      </c>
      <c r="L53" s="37" t="s">
        <v>4517</v>
      </c>
      <c r="M53" s="37" t="s">
        <v>4651</v>
      </c>
      <c r="N53" s="37" t="s">
        <v>4652</v>
      </c>
    </row>
    <row r="54" spans="1:14" ht="20.100000000000001" customHeight="1" x14ac:dyDescent="0.25">
      <c r="A54" s="36" t="s">
        <v>4644</v>
      </c>
      <c r="B54" s="37" t="s">
        <v>459</v>
      </c>
      <c r="C54" s="36">
        <v>8100501</v>
      </c>
      <c r="D54" s="37" t="s">
        <v>63</v>
      </c>
      <c r="E54" s="36" t="s">
        <v>4653</v>
      </c>
      <c r="F54" s="21" t="str">
        <f>HYPERLINK("https://psearch.kitsapgov.com/webappa/index.html?parcelID=1427681&amp;Theme=Imagery","1427681")</f>
        <v>1427681</v>
      </c>
      <c r="G54" s="37" t="s">
        <v>4654</v>
      </c>
      <c r="H54" s="38">
        <v>44159</v>
      </c>
      <c r="I54" s="39">
        <v>1800000</v>
      </c>
      <c r="J54" s="40">
        <v>7.0000000000000007E-2</v>
      </c>
      <c r="K54" s="37" t="s">
        <v>93</v>
      </c>
      <c r="L54" s="37" t="s">
        <v>4517</v>
      </c>
      <c r="M54" s="37" t="s">
        <v>4651</v>
      </c>
      <c r="N54" s="37" t="s">
        <v>4652</v>
      </c>
    </row>
    <row r="55" spans="1:14" ht="20.100000000000001" customHeight="1" x14ac:dyDescent="0.25">
      <c r="A55" s="36" t="s">
        <v>4644</v>
      </c>
      <c r="B55" s="37" t="s">
        <v>459</v>
      </c>
      <c r="C55" s="36">
        <v>8100501</v>
      </c>
      <c r="D55" s="37" t="s">
        <v>63</v>
      </c>
      <c r="E55" s="36" t="s">
        <v>4655</v>
      </c>
      <c r="F55" s="21" t="str">
        <f>HYPERLINK("https://psearch.kitsapgov.com/webappa/index.html?parcelID=1427913&amp;Theme=Imagery","1427913")</f>
        <v>1427913</v>
      </c>
      <c r="G55" s="37" t="s">
        <v>4656</v>
      </c>
      <c r="H55" s="38">
        <v>44159</v>
      </c>
      <c r="I55" s="39">
        <v>1800000</v>
      </c>
      <c r="J55" s="40">
        <v>0.43</v>
      </c>
      <c r="K55" s="37" t="s">
        <v>93</v>
      </c>
      <c r="L55" s="37" t="s">
        <v>4517</v>
      </c>
      <c r="M55" s="37" t="s">
        <v>4647</v>
      </c>
      <c r="N55" s="37" t="s">
        <v>4648</v>
      </c>
    </row>
    <row r="56" spans="1:14" ht="39.950000000000003" customHeight="1" x14ac:dyDescent="0.25">
      <c r="A56" s="36" t="s">
        <v>4657</v>
      </c>
      <c r="B56" s="37" t="s">
        <v>262</v>
      </c>
      <c r="C56" s="36">
        <v>8400201</v>
      </c>
      <c r="D56" s="37" t="s">
        <v>496</v>
      </c>
      <c r="E56" s="36" t="s">
        <v>4658</v>
      </c>
      <c r="F56" s="21" t="str">
        <f>HYPERLINK("https://psearch.kitsapgov.com/webappa/index.html?parcelID=2352144&amp;Theme=Imagery","2352144")</f>
        <v>2352144</v>
      </c>
      <c r="G56" s="37" t="s">
        <v>4659</v>
      </c>
      <c r="H56" s="38">
        <v>44181</v>
      </c>
      <c r="I56" s="39">
        <v>850000</v>
      </c>
      <c r="J56" s="40">
        <v>0.06</v>
      </c>
      <c r="K56" s="37" t="s">
        <v>499</v>
      </c>
      <c r="L56" s="37" t="s">
        <v>4517</v>
      </c>
      <c r="M56" s="37" t="s">
        <v>4660</v>
      </c>
      <c r="N56" s="37" t="s">
        <v>4661</v>
      </c>
    </row>
    <row r="57" spans="1:14" ht="20.100000000000001" customHeight="1" x14ac:dyDescent="0.25">
      <c r="A57" s="36" t="s">
        <v>4657</v>
      </c>
      <c r="B57" s="37" t="s">
        <v>78</v>
      </c>
      <c r="C57" s="36">
        <v>8400201</v>
      </c>
      <c r="D57" s="37" t="s">
        <v>496</v>
      </c>
      <c r="E57" s="36" t="s">
        <v>4662</v>
      </c>
      <c r="F57" s="21" t="str">
        <f>HYPERLINK("https://psearch.kitsapgov.com/webappa/index.html?parcelID=2352151&amp;Theme=Imagery","2352151")</f>
        <v>2352151</v>
      </c>
      <c r="G57" s="37" t="s">
        <v>4663</v>
      </c>
      <c r="H57" s="38">
        <v>44181</v>
      </c>
      <c r="I57" s="39">
        <v>850000</v>
      </c>
      <c r="J57" s="40">
        <v>0.12</v>
      </c>
      <c r="K57" s="37" t="s">
        <v>499</v>
      </c>
      <c r="L57" s="37" t="s">
        <v>4517</v>
      </c>
      <c r="M57" s="37" t="s">
        <v>4660</v>
      </c>
      <c r="N57" s="37" t="s">
        <v>4661</v>
      </c>
    </row>
    <row r="58" spans="1:14" ht="39.950000000000003" customHeight="1" x14ac:dyDescent="0.25">
      <c r="A58" s="36" t="s">
        <v>4664</v>
      </c>
      <c r="B58" s="37" t="s">
        <v>459</v>
      </c>
      <c r="C58" s="36">
        <v>8100505</v>
      </c>
      <c r="D58" s="37" t="s">
        <v>670</v>
      </c>
      <c r="E58" s="36" t="s">
        <v>4665</v>
      </c>
      <c r="F58" s="21" t="str">
        <f>HYPERLINK("https://psearch.kitsapgov.com/webappa/index.html?parcelID=1490556&amp;Theme=Imagery","1490556")</f>
        <v>1490556</v>
      </c>
      <c r="G58" s="37" t="s">
        <v>4666</v>
      </c>
      <c r="H58" s="38">
        <v>44174</v>
      </c>
      <c r="I58" s="39">
        <v>3500000</v>
      </c>
      <c r="J58" s="40">
        <v>0.47</v>
      </c>
      <c r="K58" s="37" t="s">
        <v>673</v>
      </c>
      <c r="L58" s="37" t="s">
        <v>4517</v>
      </c>
      <c r="M58" s="37" t="s">
        <v>4667</v>
      </c>
      <c r="N58" s="37" t="s">
        <v>4668</v>
      </c>
    </row>
    <row r="59" spans="1:14" ht="20.100000000000001" customHeight="1" x14ac:dyDescent="0.25">
      <c r="A59" s="36" t="s">
        <v>4664</v>
      </c>
      <c r="B59" s="37" t="s">
        <v>42</v>
      </c>
      <c r="C59" s="36">
        <v>8100505</v>
      </c>
      <c r="D59" s="37" t="s">
        <v>670</v>
      </c>
      <c r="E59" s="36" t="s">
        <v>4669</v>
      </c>
      <c r="F59" s="21" t="str">
        <f>HYPERLINK("https://psearch.kitsapgov.com/webappa/index.html?parcelID=1490895&amp;Theme=Imagery","1490895")</f>
        <v>1490895</v>
      </c>
      <c r="G59" s="37" t="s">
        <v>4670</v>
      </c>
      <c r="H59" s="38">
        <v>44174</v>
      </c>
      <c r="I59" s="39">
        <v>3500000</v>
      </c>
      <c r="J59" s="40">
        <v>1.42</v>
      </c>
      <c r="K59" s="37" t="s">
        <v>673</v>
      </c>
      <c r="L59" s="37" t="s">
        <v>4517</v>
      </c>
      <c r="M59" s="37" t="s">
        <v>4667</v>
      </c>
      <c r="N59" s="37" t="s">
        <v>4668</v>
      </c>
    </row>
    <row r="60" spans="1:14" ht="39.950000000000003" customHeight="1" x14ac:dyDescent="0.25">
      <c r="A60" s="36" t="s">
        <v>4671</v>
      </c>
      <c r="B60" s="37" t="s">
        <v>78</v>
      </c>
      <c r="C60" s="36">
        <v>7402390</v>
      </c>
      <c r="D60" s="37" t="s">
        <v>4527</v>
      </c>
      <c r="E60" s="36" t="s">
        <v>4672</v>
      </c>
      <c r="F60" s="21" t="str">
        <f>HYPERLINK("https://psearch.kitsapgov.com/webappa/index.html?parcelID=1163245&amp;Theme=Imagery","1163245")</f>
        <v>1163245</v>
      </c>
      <c r="G60" s="37" t="s">
        <v>3019</v>
      </c>
      <c r="H60" s="38">
        <v>44193</v>
      </c>
      <c r="I60" s="39">
        <v>550000</v>
      </c>
      <c r="J60" s="40">
        <v>3.79</v>
      </c>
      <c r="K60" s="37" t="s">
        <v>4673</v>
      </c>
      <c r="L60" s="37" t="s">
        <v>4517</v>
      </c>
      <c r="M60" s="37" t="s">
        <v>4674</v>
      </c>
      <c r="N60" s="37" t="s">
        <v>3273</v>
      </c>
    </row>
    <row r="61" spans="1:14" ht="20.100000000000001" customHeight="1" x14ac:dyDescent="0.25">
      <c r="A61" s="36" t="s">
        <v>4671</v>
      </c>
      <c r="B61" s="37" t="s">
        <v>324</v>
      </c>
      <c r="C61" s="36">
        <v>8402305</v>
      </c>
      <c r="D61" s="37" t="s">
        <v>452</v>
      </c>
      <c r="E61" s="36" t="s">
        <v>4675</v>
      </c>
      <c r="F61" s="21" t="str">
        <f>HYPERLINK("https://psearch.kitsapgov.com/webappa/index.html?parcelID=1163427&amp;Theme=Imagery","1163427")</f>
        <v>1163427</v>
      </c>
      <c r="G61" s="37" t="s">
        <v>4676</v>
      </c>
      <c r="H61" s="38">
        <v>44193</v>
      </c>
      <c r="I61" s="39">
        <v>550000</v>
      </c>
      <c r="J61" s="40">
        <v>0.14000000000000001</v>
      </c>
      <c r="K61" s="37" t="s">
        <v>368</v>
      </c>
      <c r="L61" s="37" t="s">
        <v>4517</v>
      </c>
      <c r="M61" s="37" t="s">
        <v>4674</v>
      </c>
      <c r="N61" s="37" t="s">
        <v>3273</v>
      </c>
    </row>
    <row r="62" spans="1:14" ht="39.950000000000003" customHeight="1" x14ac:dyDescent="0.25">
      <c r="A62" s="36" t="s">
        <v>4677</v>
      </c>
      <c r="B62" s="37" t="s">
        <v>105</v>
      </c>
      <c r="C62" s="36">
        <v>8400204</v>
      </c>
      <c r="D62" s="37" t="s">
        <v>194</v>
      </c>
      <c r="E62" s="36" t="s">
        <v>4678</v>
      </c>
      <c r="F62" s="21" t="str">
        <f>HYPERLINK("https://psearch.kitsapgov.com/webappa/index.html?parcelID=2444164&amp;Theme=Imagery","2444164")</f>
        <v>2444164</v>
      </c>
      <c r="G62" s="37" t="s">
        <v>4679</v>
      </c>
      <c r="H62" s="38">
        <v>44193</v>
      </c>
      <c r="I62" s="39">
        <v>1500000</v>
      </c>
      <c r="J62" s="40">
        <v>0.67</v>
      </c>
      <c r="K62" s="37" t="s">
        <v>583</v>
      </c>
      <c r="L62" s="37" t="s">
        <v>4517</v>
      </c>
      <c r="M62" s="37" t="s">
        <v>4680</v>
      </c>
      <c r="N62" s="37" t="s">
        <v>4681</v>
      </c>
    </row>
    <row r="63" spans="1:14" ht="20.100000000000001" customHeight="1" x14ac:dyDescent="0.25">
      <c r="A63" s="36" t="s">
        <v>4677</v>
      </c>
      <c r="B63" s="37" t="s">
        <v>70</v>
      </c>
      <c r="C63" s="36">
        <v>8400204</v>
      </c>
      <c r="D63" s="37" t="s">
        <v>194</v>
      </c>
      <c r="E63" s="36" t="s">
        <v>4682</v>
      </c>
      <c r="F63" s="21" t="str">
        <f>HYPERLINK("https://psearch.kitsapgov.com/webappa/index.html?parcelID=2444198&amp;Theme=Imagery","2444198")</f>
        <v>2444198</v>
      </c>
      <c r="G63" s="37" t="s">
        <v>4683</v>
      </c>
      <c r="H63" s="38">
        <v>44193</v>
      </c>
      <c r="I63" s="39">
        <v>1500000</v>
      </c>
      <c r="J63" s="40">
        <v>1.1200000000000001</v>
      </c>
      <c r="K63" s="37" t="s">
        <v>583</v>
      </c>
      <c r="L63" s="37" t="s">
        <v>4517</v>
      </c>
      <c r="M63" s="37" t="s">
        <v>4680</v>
      </c>
      <c r="N63" s="37" t="s">
        <v>4681</v>
      </c>
    </row>
    <row r="64" spans="1:14" ht="39.950000000000003" customHeight="1" x14ac:dyDescent="0.25">
      <c r="A64" s="36" t="s">
        <v>4684</v>
      </c>
      <c r="B64" s="37" t="s">
        <v>1459</v>
      </c>
      <c r="C64" s="36">
        <v>8100502</v>
      </c>
      <c r="D64" s="37" t="s">
        <v>142</v>
      </c>
      <c r="E64" s="36" t="s">
        <v>4685</v>
      </c>
      <c r="F64" s="21" t="str">
        <f>HYPERLINK("https://psearch.kitsapgov.com/webappa/index.html?parcelID=2133155&amp;Theme=Imagery","2133155")</f>
        <v>2133155</v>
      </c>
      <c r="G64" s="37" t="s">
        <v>4686</v>
      </c>
      <c r="H64" s="38">
        <v>44193</v>
      </c>
      <c r="I64" s="39">
        <v>975000</v>
      </c>
      <c r="J64" s="40">
        <v>1.49</v>
      </c>
      <c r="K64" s="37" t="s">
        <v>145</v>
      </c>
      <c r="L64" s="37" t="s">
        <v>4552</v>
      </c>
      <c r="M64" s="37" t="s">
        <v>4687</v>
      </c>
      <c r="N64" s="37" t="s">
        <v>4688</v>
      </c>
    </row>
    <row r="65" spans="1:14" ht="20.100000000000001" customHeight="1" x14ac:dyDescent="0.25">
      <c r="A65" s="36" t="s">
        <v>4684</v>
      </c>
      <c r="B65" s="37" t="s">
        <v>105</v>
      </c>
      <c r="C65" s="36">
        <v>8100502</v>
      </c>
      <c r="D65" s="37" t="s">
        <v>142</v>
      </c>
      <c r="E65" s="36" t="s">
        <v>4689</v>
      </c>
      <c r="F65" s="21" t="str">
        <f>HYPERLINK("https://psearch.kitsapgov.com/webappa/index.html?parcelID=1429703&amp;Theme=Imagery","1429703")</f>
        <v>1429703</v>
      </c>
      <c r="G65" s="37" t="s">
        <v>4690</v>
      </c>
      <c r="H65" s="38">
        <v>44193</v>
      </c>
      <c r="I65" s="39">
        <v>975000</v>
      </c>
      <c r="J65" s="40">
        <v>0.14000000000000001</v>
      </c>
      <c r="K65" s="37" t="s">
        <v>145</v>
      </c>
      <c r="L65" s="37" t="s">
        <v>4552</v>
      </c>
      <c r="M65" s="37" t="s">
        <v>4687</v>
      </c>
      <c r="N65" s="37" t="s">
        <v>4688</v>
      </c>
    </row>
    <row r="66" spans="1:14" ht="39.950000000000003" customHeight="1" x14ac:dyDescent="0.25">
      <c r="A66" s="36" t="s">
        <v>4691</v>
      </c>
      <c r="B66" s="37" t="s">
        <v>1244</v>
      </c>
      <c r="C66" s="36">
        <v>9400313</v>
      </c>
      <c r="D66" s="37" t="s">
        <v>4692</v>
      </c>
      <c r="E66" s="36" t="s">
        <v>4693</v>
      </c>
      <c r="F66" s="21" t="str">
        <f>HYPERLINK("https://psearch.kitsapgov.com/webappa/index.html?parcelID=1597723&amp;Theme=Imagery","1597723")</f>
        <v>1597723</v>
      </c>
      <c r="G66" s="37" t="s">
        <v>4694</v>
      </c>
      <c r="H66" s="38">
        <v>44186</v>
      </c>
      <c r="I66" s="39">
        <v>300000</v>
      </c>
      <c r="J66" s="40">
        <v>0.12</v>
      </c>
      <c r="K66" s="37" t="s">
        <v>82</v>
      </c>
      <c r="L66" s="37" t="s">
        <v>4552</v>
      </c>
      <c r="M66" s="37" t="s">
        <v>4695</v>
      </c>
      <c r="N66" s="37" t="s">
        <v>4696</v>
      </c>
    </row>
    <row r="67" spans="1:14" ht="20.100000000000001" customHeight="1" x14ac:dyDescent="0.25">
      <c r="A67" s="36" t="s">
        <v>4691</v>
      </c>
      <c r="B67" s="37" t="s">
        <v>459</v>
      </c>
      <c r="C67" s="36">
        <v>9400313</v>
      </c>
      <c r="D67" s="37" t="s">
        <v>4692</v>
      </c>
      <c r="E67" s="36" t="s">
        <v>4697</v>
      </c>
      <c r="F67" s="21" t="str">
        <f>HYPERLINK("https://psearch.kitsapgov.com/webappa/index.html?parcelID=1600618&amp;Theme=Imagery","1600618")</f>
        <v>1600618</v>
      </c>
      <c r="G67" s="37" t="s">
        <v>4698</v>
      </c>
      <c r="H67" s="38">
        <v>44186</v>
      </c>
      <c r="I67" s="39">
        <v>300000</v>
      </c>
      <c r="J67" s="40">
        <v>0.08</v>
      </c>
      <c r="K67" s="37" t="s">
        <v>205</v>
      </c>
      <c r="L67" s="37" t="s">
        <v>4552</v>
      </c>
      <c r="M67" s="37" t="s">
        <v>4699</v>
      </c>
      <c r="N67" s="37" t="s">
        <v>4700</v>
      </c>
    </row>
    <row r="68" spans="1:14" ht="39.950000000000003" customHeight="1" x14ac:dyDescent="0.25">
      <c r="A68" s="36" t="s">
        <v>4701</v>
      </c>
      <c r="B68" s="37" t="s">
        <v>909</v>
      </c>
      <c r="C68" s="36">
        <v>9402404</v>
      </c>
      <c r="D68" s="37" t="s">
        <v>4702</v>
      </c>
      <c r="E68" s="36" t="s">
        <v>4703</v>
      </c>
      <c r="F68" s="21" t="str">
        <f>HYPERLINK("https://psearch.kitsapgov.com/webappa/index.html?parcelID=2028744&amp;Theme=Imagery","2028744")</f>
        <v>2028744</v>
      </c>
      <c r="G68" s="37" t="s">
        <v>4704</v>
      </c>
      <c r="H68" s="38">
        <v>44194</v>
      </c>
      <c r="I68" s="39">
        <v>3900000</v>
      </c>
      <c r="J68" s="40">
        <v>19.059999999999999</v>
      </c>
      <c r="K68" s="37" t="s">
        <v>3493</v>
      </c>
      <c r="L68" s="37" t="s">
        <v>4517</v>
      </c>
      <c r="M68" s="37" t="s">
        <v>4705</v>
      </c>
      <c r="N68" s="37" t="s">
        <v>4706</v>
      </c>
    </row>
    <row r="69" spans="1:14" ht="20.100000000000001" customHeight="1" x14ac:dyDescent="0.25">
      <c r="A69" s="36" t="s">
        <v>4701</v>
      </c>
      <c r="B69" s="37" t="s">
        <v>105</v>
      </c>
      <c r="C69" s="36">
        <v>7402404</v>
      </c>
      <c r="D69" s="37" t="s">
        <v>4707</v>
      </c>
      <c r="E69" s="36" t="s">
        <v>4708</v>
      </c>
      <c r="F69" s="21" t="str">
        <f>HYPERLINK("https://psearch.kitsapgov.com/webappa/index.html?parcelID=1023555&amp;Theme=Imagery","1023555")</f>
        <v>1023555</v>
      </c>
      <c r="G69" s="37" t="s">
        <v>3019</v>
      </c>
      <c r="H69" s="38">
        <v>44194</v>
      </c>
      <c r="I69" s="39">
        <v>3900000</v>
      </c>
      <c r="J69" s="40">
        <v>0.72</v>
      </c>
      <c r="K69" s="37" t="s">
        <v>3493</v>
      </c>
      <c r="L69" s="37" t="s">
        <v>4517</v>
      </c>
      <c r="M69" s="37" t="s">
        <v>4709</v>
      </c>
      <c r="N69" s="37" t="s">
        <v>4710</v>
      </c>
    </row>
    <row r="70" spans="1:14" ht="20.100000000000001" customHeight="1" x14ac:dyDescent="0.25">
      <c r="A70" s="36" t="s">
        <v>4701</v>
      </c>
      <c r="B70" s="37" t="s">
        <v>105</v>
      </c>
      <c r="C70" s="36">
        <v>7402404</v>
      </c>
      <c r="D70" s="37" t="s">
        <v>4707</v>
      </c>
      <c r="E70" s="36" t="s">
        <v>4711</v>
      </c>
      <c r="F70" s="21" t="str">
        <f>HYPERLINK("https://psearch.kitsapgov.com/webappa/index.html?parcelID=1023563&amp;Theme=Imagery","1023563")</f>
        <v>1023563</v>
      </c>
      <c r="G70" s="37" t="s">
        <v>3019</v>
      </c>
      <c r="H70" s="38">
        <v>44194</v>
      </c>
      <c r="I70" s="39">
        <v>3900000</v>
      </c>
      <c r="J70" s="40">
        <v>0.5</v>
      </c>
      <c r="K70" s="37" t="s">
        <v>3493</v>
      </c>
      <c r="L70" s="37" t="s">
        <v>4517</v>
      </c>
      <c r="M70" s="37" t="s">
        <v>4709</v>
      </c>
      <c r="N70" s="37" t="s">
        <v>4710</v>
      </c>
    </row>
    <row r="71" spans="1:14" ht="39.950000000000003" customHeight="1" x14ac:dyDescent="0.25">
      <c r="A71" s="36" t="s">
        <v>4712</v>
      </c>
      <c r="B71" s="37" t="s">
        <v>262</v>
      </c>
      <c r="C71" s="36">
        <v>8402405</v>
      </c>
      <c r="D71" s="37" t="s">
        <v>71</v>
      </c>
      <c r="E71" s="36" t="s">
        <v>4713</v>
      </c>
      <c r="F71" s="21" t="str">
        <f>HYPERLINK("https://psearch.kitsapgov.com/webappa/index.html?parcelID=1033489&amp;Theme=Imagery","1033489")</f>
        <v>1033489</v>
      </c>
      <c r="G71" s="37" t="s">
        <v>4714</v>
      </c>
      <c r="H71" s="38">
        <v>44202</v>
      </c>
      <c r="I71" s="39">
        <v>1200000</v>
      </c>
      <c r="J71" s="40">
        <v>0.94</v>
      </c>
      <c r="K71" s="37" t="s">
        <v>492</v>
      </c>
      <c r="L71" s="37" t="s">
        <v>4517</v>
      </c>
      <c r="M71" s="37" t="s">
        <v>4715</v>
      </c>
      <c r="N71" s="37" t="s">
        <v>4177</v>
      </c>
    </row>
    <row r="72" spans="1:14" ht="20.100000000000001" customHeight="1" x14ac:dyDescent="0.25">
      <c r="A72" s="36" t="s">
        <v>4712</v>
      </c>
      <c r="B72" s="37" t="s">
        <v>262</v>
      </c>
      <c r="C72" s="36">
        <v>8402405</v>
      </c>
      <c r="D72" s="37" t="s">
        <v>71</v>
      </c>
      <c r="E72" s="36" t="s">
        <v>4716</v>
      </c>
      <c r="F72" s="21" t="str">
        <f>HYPERLINK("https://psearch.kitsapgov.com/webappa/index.html?parcelID=1909696&amp;Theme=Imagery","1909696")</f>
        <v>1909696</v>
      </c>
      <c r="G72" s="37" t="s">
        <v>4714</v>
      </c>
      <c r="H72" s="38">
        <v>44202</v>
      </c>
      <c r="I72" s="39">
        <v>1200000</v>
      </c>
      <c r="J72" s="40">
        <v>0.03</v>
      </c>
      <c r="K72" s="37" t="s">
        <v>492</v>
      </c>
      <c r="L72" s="37" t="s">
        <v>4517</v>
      </c>
      <c r="M72" s="37" t="s">
        <v>4715</v>
      </c>
      <c r="N72" s="37" t="s">
        <v>4177</v>
      </c>
    </row>
    <row r="73" spans="1:14" ht="20.100000000000001" customHeight="1" x14ac:dyDescent="0.25">
      <c r="A73" s="36" t="s">
        <v>4712</v>
      </c>
      <c r="B73" s="37" t="s">
        <v>262</v>
      </c>
      <c r="C73" s="36">
        <v>8402405</v>
      </c>
      <c r="D73" s="37" t="s">
        <v>71</v>
      </c>
      <c r="E73" s="36" t="s">
        <v>4717</v>
      </c>
      <c r="F73" s="21" t="str">
        <f>HYPERLINK("https://psearch.kitsapgov.com/webappa/index.html?parcelID=1036185&amp;Theme=Imagery","1036185")</f>
        <v>1036185</v>
      </c>
      <c r="G73" s="37" t="s">
        <v>4718</v>
      </c>
      <c r="H73" s="38">
        <v>44202</v>
      </c>
      <c r="I73" s="39">
        <v>1200000</v>
      </c>
      <c r="J73" s="40">
        <v>0.59</v>
      </c>
      <c r="K73" s="37" t="s">
        <v>492</v>
      </c>
      <c r="L73" s="37" t="s">
        <v>4517</v>
      </c>
      <c r="M73" s="37" t="s">
        <v>4715</v>
      </c>
      <c r="N73" s="37" t="s">
        <v>4177</v>
      </c>
    </row>
    <row r="74" spans="1:14" ht="20.100000000000001" customHeight="1" x14ac:dyDescent="0.25">
      <c r="A74" s="36" t="s">
        <v>4712</v>
      </c>
      <c r="B74" s="37" t="s">
        <v>262</v>
      </c>
      <c r="C74" s="36">
        <v>8402405</v>
      </c>
      <c r="D74" s="37" t="s">
        <v>71</v>
      </c>
      <c r="E74" s="36" t="s">
        <v>4719</v>
      </c>
      <c r="F74" s="21" t="str">
        <f>HYPERLINK("https://psearch.kitsapgov.com/webappa/index.html?parcelID=1036201&amp;Theme=Imagery","1036201")</f>
        <v>1036201</v>
      </c>
      <c r="G74" s="37" t="s">
        <v>4718</v>
      </c>
      <c r="H74" s="38">
        <v>44202</v>
      </c>
      <c r="I74" s="39">
        <v>1200000</v>
      </c>
      <c r="J74" s="40">
        <v>7.99</v>
      </c>
      <c r="K74" s="37" t="s">
        <v>492</v>
      </c>
      <c r="L74" s="37" t="s">
        <v>4517</v>
      </c>
      <c r="M74" s="37" t="s">
        <v>4715</v>
      </c>
      <c r="N74" s="37" t="s">
        <v>4177</v>
      </c>
    </row>
    <row r="75" spans="1:14" ht="39.950000000000003" customHeight="1" x14ac:dyDescent="0.25">
      <c r="A75" s="36" t="s">
        <v>4720</v>
      </c>
      <c r="B75" s="37" t="s">
        <v>1948</v>
      </c>
      <c r="C75" s="36">
        <v>8401101</v>
      </c>
      <c r="D75" s="37" t="s">
        <v>305</v>
      </c>
      <c r="E75" s="36" t="s">
        <v>4721</v>
      </c>
      <c r="F75" s="21" t="str">
        <f>HYPERLINK("https://psearch.kitsapgov.com/webappa/index.html?parcelID=1668193&amp;Theme=Imagery","1668193")</f>
        <v>1668193</v>
      </c>
      <c r="G75" s="37" t="s">
        <v>4722</v>
      </c>
      <c r="H75" s="38">
        <v>44228</v>
      </c>
      <c r="I75" s="39">
        <v>9750000</v>
      </c>
      <c r="J75" s="40">
        <v>1.49</v>
      </c>
      <c r="K75" s="37" t="s">
        <v>308</v>
      </c>
      <c r="L75" s="37" t="s">
        <v>4552</v>
      </c>
      <c r="M75" s="37" t="s">
        <v>4723</v>
      </c>
      <c r="N75" s="37" t="s">
        <v>4724</v>
      </c>
    </row>
    <row r="76" spans="1:14" ht="20.100000000000001" customHeight="1" x14ac:dyDescent="0.25">
      <c r="A76" s="36" t="s">
        <v>4720</v>
      </c>
      <c r="B76" s="37" t="s">
        <v>1948</v>
      </c>
      <c r="C76" s="36">
        <v>8401101</v>
      </c>
      <c r="D76" s="37" t="s">
        <v>305</v>
      </c>
      <c r="E76" s="36" t="s">
        <v>4725</v>
      </c>
      <c r="F76" s="21" t="str">
        <f>HYPERLINK("https://psearch.kitsapgov.com/webappa/index.html?parcelID=1668227&amp;Theme=Imagery","1668227")</f>
        <v>1668227</v>
      </c>
      <c r="G76" s="37" t="s">
        <v>4726</v>
      </c>
      <c r="H76" s="38">
        <v>44228</v>
      </c>
      <c r="I76" s="39">
        <v>9750000</v>
      </c>
      <c r="J76" s="40">
        <v>0.69</v>
      </c>
      <c r="K76" s="37" t="s">
        <v>308</v>
      </c>
      <c r="L76" s="37" t="s">
        <v>4552</v>
      </c>
      <c r="M76" s="37" t="s">
        <v>4723</v>
      </c>
      <c r="N76" s="37" t="s">
        <v>4724</v>
      </c>
    </row>
    <row r="77" spans="1:14" ht="20.100000000000001" customHeight="1" x14ac:dyDescent="0.25">
      <c r="A77" s="36" t="s">
        <v>4720</v>
      </c>
      <c r="B77" s="37" t="s">
        <v>459</v>
      </c>
      <c r="C77" s="36">
        <v>8401101</v>
      </c>
      <c r="D77" s="37" t="s">
        <v>305</v>
      </c>
      <c r="E77" s="36" t="s">
        <v>4727</v>
      </c>
      <c r="F77" s="21" t="str">
        <f>HYPERLINK("https://psearch.kitsapgov.com/webappa/index.html?parcelID=1668235&amp;Theme=Imagery","1668235")</f>
        <v>1668235</v>
      </c>
      <c r="G77" s="37" t="s">
        <v>4728</v>
      </c>
      <c r="H77" s="38">
        <v>44228</v>
      </c>
      <c r="I77" s="39">
        <v>9750000</v>
      </c>
      <c r="J77" s="40">
        <v>5.88</v>
      </c>
      <c r="K77" s="37" t="s">
        <v>308</v>
      </c>
      <c r="L77" s="37" t="s">
        <v>4552</v>
      </c>
      <c r="M77" s="37" t="s">
        <v>4723</v>
      </c>
      <c r="N77" s="37" t="s">
        <v>4724</v>
      </c>
    </row>
    <row r="78" spans="1:14" ht="39.950000000000003" customHeight="1" x14ac:dyDescent="0.25">
      <c r="A78" s="36" t="s">
        <v>4729</v>
      </c>
      <c r="B78" s="37" t="s">
        <v>24</v>
      </c>
      <c r="C78" s="36">
        <v>8401101</v>
      </c>
      <c r="D78" s="37" t="s">
        <v>305</v>
      </c>
      <c r="E78" s="36" t="s">
        <v>4730</v>
      </c>
      <c r="F78" s="21" t="str">
        <f>HYPERLINK("https://psearch.kitsapgov.com/webappa/index.html?parcelID=2100360&amp;Theme=Imagery","2100360")</f>
        <v>2100360</v>
      </c>
      <c r="G78" s="37" t="s">
        <v>4731</v>
      </c>
      <c r="H78" s="38">
        <v>44228</v>
      </c>
      <c r="I78" s="39">
        <v>7750000</v>
      </c>
      <c r="J78" s="40">
        <v>0.94</v>
      </c>
      <c r="K78" s="37" t="s">
        <v>308</v>
      </c>
      <c r="L78" s="37" t="s">
        <v>4517</v>
      </c>
      <c r="M78" s="37" t="s">
        <v>4732</v>
      </c>
      <c r="N78" s="37" t="s">
        <v>4733</v>
      </c>
    </row>
    <row r="79" spans="1:14" ht="20.100000000000001" customHeight="1" x14ac:dyDescent="0.25">
      <c r="A79" s="36" t="s">
        <v>4729</v>
      </c>
      <c r="B79" s="37" t="s">
        <v>159</v>
      </c>
      <c r="C79" s="36">
        <v>8401101</v>
      </c>
      <c r="D79" s="37" t="s">
        <v>305</v>
      </c>
      <c r="E79" s="36" t="s">
        <v>4734</v>
      </c>
      <c r="F79" s="21" t="str">
        <f>HYPERLINK("https://psearch.kitsapgov.com/webappa/index.html?parcelID=2100378&amp;Theme=Imagery","2100378")</f>
        <v>2100378</v>
      </c>
      <c r="G79" s="37" t="s">
        <v>4735</v>
      </c>
      <c r="H79" s="38">
        <v>44228</v>
      </c>
      <c r="I79" s="39">
        <v>7750000</v>
      </c>
      <c r="J79" s="40">
        <v>1.05</v>
      </c>
      <c r="K79" s="37" t="s">
        <v>308</v>
      </c>
      <c r="L79" s="37" t="s">
        <v>4517</v>
      </c>
      <c r="M79" s="37" t="s">
        <v>4736</v>
      </c>
      <c r="N79" s="37" t="s">
        <v>4737</v>
      </c>
    </row>
    <row r="80" spans="1:14" ht="20.100000000000001" customHeight="1" x14ac:dyDescent="0.25">
      <c r="A80" s="36" t="s">
        <v>4729</v>
      </c>
      <c r="B80" s="37" t="s">
        <v>159</v>
      </c>
      <c r="C80" s="36">
        <v>8401101</v>
      </c>
      <c r="D80" s="37" t="s">
        <v>305</v>
      </c>
      <c r="E80" s="36" t="s">
        <v>4738</v>
      </c>
      <c r="F80" s="21" t="str">
        <f>HYPERLINK("https://psearch.kitsapgov.com/webappa/index.html?parcelID=2100386&amp;Theme=Imagery","2100386")</f>
        <v>2100386</v>
      </c>
      <c r="G80" s="37" t="s">
        <v>4739</v>
      </c>
      <c r="H80" s="38">
        <v>44228</v>
      </c>
      <c r="I80" s="39">
        <v>7750000</v>
      </c>
      <c r="J80" s="40">
        <v>1.18</v>
      </c>
      <c r="K80" s="37" t="s">
        <v>308</v>
      </c>
      <c r="L80" s="37" t="s">
        <v>4517</v>
      </c>
      <c r="M80" s="37" t="s">
        <v>4732</v>
      </c>
      <c r="N80" s="37" t="s">
        <v>4733</v>
      </c>
    </row>
    <row r="81" spans="1:14" ht="20.100000000000001" customHeight="1" x14ac:dyDescent="0.25">
      <c r="A81" s="36" t="s">
        <v>4729</v>
      </c>
      <c r="B81" s="37" t="s">
        <v>324</v>
      </c>
      <c r="C81" s="36">
        <v>8401101</v>
      </c>
      <c r="D81" s="37" t="s">
        <v>305</v>
      </c>
      <c r="E81" s="36" t="s">
        <v>4740</v>
      </c>
      <c r="F81" s="21" t="str">
        <f>HYPERLINK("https://psearch.kitsapgov.com/webappa/index.html?parcelID=2310704&amp;Theme=Imagery","2310704")</f>
        <v>2310704</v>
      </c>
      <c r="G81" s="37" t="s">
        <v>4741</v>
      </c>
      <c r="H81" s="38">
        <v>44228</v>
      </c>
      <c r="I81" s="39">
        <v>7750000</v>
      </c>
      <c r="J81" s="40">
        <v>1.52</v>
      </c>
      <c r="K81" s="37" t="s">
        <v>308</v>
      </c>
      <c r="L81" s="37" t="s">
        <v>4517</v>
      </c>
      <c r="M81" s="37" t="s">
        <v>4732</v>
      </c>
      <c r="N81" s="37" t="s">
        <v>4733</v>
      </c>
    </row>
    <row r="82" spans="1:14" ht="39.950000000000003" customHeight="1" x14ac:dyDescent="0.25">
      <c r="A82" s="36" t="s">
        <v>4742</v>
      </c>
      <c r="B82" s="37" t="s">
        <v>2100</v>
      </c>
      <c r="C82" s="36">
        <v>8402405</v>
      </c>
      <c r="D82" s="37" t="s">
        <v>71</v>
      </c>
      <c r="E82" s="36" t="s">
        <v>4743</v>
      </c>
      <c r="F82" s="21" t="str">
        <f>HYPERLINK("https://psearch.kitsapgov.com/webappa/index.html?parcelID=2162691&amp;Theme=Imagery","2162691")</f>
        <v>2162691</v>
      </c>
      <c r="G82" s="37" t="s">
        <v>4744</v>
      </c>
      <c r="H82" s="38">
        <v>44194</v>
      </c>
      <c r="I82" s="39">
        <v>500000</v>
      </c>
      <c r="J82" s="40">
        <v>8.26</v>
      </c>
      <c r="K82" s="37" t="s">
        <v>492</v>
      </c>
      <c r="L82" s="37" t="s">
        <v>213</v>
      </c>
      <c r="M82" s="37" t="s">
        <v>4745</v>
      </c>
      <c r="N82" s="37" t="s">
        <v>4746</v>
      </c>
    </row>
    <row r="83" spans="1:14" ht="20.100000000000001" customHeight="1" x14ac:dyDescent="0.25">
      <c r="A83" s="36" t="s">
        <v>4742</v>
      </c>
      <c r="B83" s="37" t="s">
        <v>2100</v>
      </c>
      <c r="C83" s="36">
        <v>8402405</v>
      </c>
      <c r="D83" s="37" t="s">
        <v>71</v>
      </c>
      <c r="E83" s="36" t="s">
        <v>4747</v>
      </c>
      <c r="F83" s="21" t="str">
        <f>HYPERLINK("https://psearch.kitsapgov.com/webappa/index.html?parcelID=2483535&amp;Theme=Imagery","2483535")</f>
        <v>2483535</v>
      </c>
      <c r="G83" s="37" t="s">
        <v>4748</v>
      </c>
      <c r="H83" s="38">
        <v>44194</v>
      </c>
      <c r="I83" s="39">
        <v>500000</v>
      </c>
      <c r="J83" s="40">
        <v>2.7</v>
      </c>
      <c r="K83" s="37" t="s">
        <v>492</v>
      </c>
      <c r="L83" s="37" t="s">
        <v>213</v>
      </c>
      <c r="M83" s="37" t="s">
        <v>4745</v>
      </c>
      <c r="N83" s="37" t="s">
        <v>4746</v>
      </c>
    </row>
    <row r="84" spans="1:14" ht="20.100000000000001" customHeight="1" x14ac:dyDescent="0.25">
      <c r="A84" s="36" t="s">
        <v>4742</v>
      </c>
      <c r="B84" s="37" t="s">
        <v>2100</v>
      </c>
      <c r="C84" s="36">
        <v>8402405</v>
      </c>
      <c r="D84" s="37" t="s">
        <v>71</v>
      </c>
      <c r="E84" s="36" t="s">
        <v>4749</v>
      </c>
      <c r="F84" s="21" t="str">
        <f>HYPERLINK("https://psearch.kitsapgov.com/webappa/index.html?parcelID=2483543&amp;Theme=Imagery","2483543")</f>
        <v>2483543</v>
      </c>
      <c r="G84" s="37" t="s">
        <v>4750</v>
      </c>
      <c r="H84" s="38">
        <v>44194</v>
      </c>
      <c r="I84" s="39">
        <v>500000</v>
      </c>
      <c r="J84" s="40">
        <v>6.74</v>
      </c>
      <c r="K84" s="37" t="s">
        <v>492</v>
      </c>
      <c r="L84" s="37" t="s">
        <v>213</v>
      </c>
      <c r="M84" s="37" t="s">
        <v>4745</v>
      </c>
      <c r="N84" s="37" t="s">
        <v>4746</v>
      </c>
    </row>
    <row r="85" spans="1:14" ht="39.950000000000003" customHeight="1" x14ac:dyDescent="0.25">
      <c r="A85" s="36" t="s">
        <v>4751</v>
      </c>
      <c r="B85" s="37" t="s">
        <v>70</v>
      </c>
      <c r="C85" s="36">
        <v>8402405</v>
      </c>
      <c r="D85" s="37" t="s">
        <v>71</v>
      </c>
      <c r="E85" s="36" t="s">
        <v>4752</v>
      </c>
      <c r="F85" s="21" t="str">
        <f>HYPERLINK("https://psearch.kitsapgov.com/webappa/index.html?parcelID=2066454&amp;Theme=Imagery","2066454")</f>
        <v>2066454</v>
      </c>
      <c r="G85" s="37" t="s">
        <v>4753</v>
      </c>
      <c r="H85" s="38">
        <v>44236</v>
      </c>
      <c r="I85" s="39">
        <v>800000</v>
      </c>
      <c r="J85" s="40">
        <v>4.84</v>
      </c>
      <c r="K85" s="37" t="s">
        <v>74</v>
      </c>
      <c r="L85" s="37" t="s">
        <v>4517</v>
      </c>
      <c r="M85" s="37" t="s">
        <v>75</v>
      </c>
      <c r="N85" s="37" t="s">
        <v>4754</v>
      </c>
    </row>
    <row r="86" spans="1:14" ht="20.100000000000001" customHeight="1" x14ac:dyDescent="0.25">
      <c r="A86" s="36" t="s">
        <v>4751</v>
      </c>
      <c r="B86" s="37" t="s">
        <v>105</v>
      </c>
      <c r="C86" s="36">
        <v>8402405</v>
      </c>
      <c r="D86" s="37" t="s">
        <v>71</v>
      </c>
      <c r="E86" s="36" t="s">
        <v>4755</v>
      </c>
      <c r="F86" s="21" t="str">
        <f>HYPERLINK("https://psearch.kitsapgov.com/webappa/index.html?parcelID=2646008&amp;Theme=Imagery","2646008")</f>
        <v>2646008</v>
      </c>
      <c r="G86" s="37" t="s">
        <v>4756</v>
      </c>
      <c r="H86" s="38">
        <v>44236</v>
      </c>
      <c r="I86" s="39">
        <v>800000</v>
      </c>
      <c r="J86" s="40">
        <v>0.72</v>
      </c>
      <c r="K86" s="37" t="s">
        <v>74</v>
      </c>
      <c r="L86" s="37" t="s">
        <v>4517</v>
      </c>
      <c r="M86" s="37" t="s">
        <v>278</v>
      </c>
      <c r="N86" s="37" t="s">
        <v>4757</v>
      </c>
    </row>
    <row r="87" spans="1:14" ht="39.950000000000003" customHeight="1" x14ac:dyDescent="0.25">
      <c r="A87" s="36" t="s">
        <v>4758</v>
      </c>
      <c r="B87" s="37" t="s">
        <v>909</v>
      </c>
      <c r="C87" s="36">
        <v>8303601</v>
      </c>
      <c r="D87" s="37" t="s">
        <v>25</v>
      </c>
      <c r="E87" s="36" t="s">
        <v>4759</v>
      </c>
      <c r="F87" s="21" t="str">
        <f>HYPERLINK("https://psearch.kitsapgov.com/webappa/index.html?parcelID=2434181&amp;Theme=Imagery","2434181")</f>
        <v>2434181</v>
      </c>
      <c r="G87" s="37" t="s">
        <v>4760</v>
      </c>
      <c r="H87" s="38">
        <v>44243</v>
      </c>
      <c r="I87" s="39">
        <v>278000</v>
      </c>
      <c r="J87" s="40">
        <v>4.9800000000000004</v>
      </c>
      <c r="K87" s="37" t="s">
        <v>421</v>
      </c>
      <c r="L87" s="37" t="s">
        <v>944</v>
      </c>
      <c r="M87" s="37" t="s">
        <v>4761</v>
      </c>
      <c r="N87" s="37" t="s">
        <v>4762</v>
      </c>
    </row>
    <row r="88" spans="1:14" ht="20.100000000000001" customHeight="1" x14ac:dyDescent="0.25">
      <c r="A88" s="36" t="s">
        <v>4758</v>
      </c>
      <c r="B88" s="37" t="s">
        <v>4603</v>
      </c>
      <c r="C88" s="36">
        <v>7303604</v>
      </c>
      <c r="D88" s="37" t="s">
        <v>4763</v>
      </c>
      <c r="E88" s="36" t="s">
        <v>4764</v>
      </c>
      <c r="F88" s="21" t="str">
        <f>HYPERLINK("https://psearch.kitsapgov.com/webappa/index.html?parcelID=2523793&amp;Theme=Imagery","2523793")</f>
        <v>2523793</v>
      </c>
      <c r="G88" s="37" t="s">
        <v>3019</v>
      </c>
      <c r="H88" s="38">
        <v>44243</v>
      </c>
      <c r="I88" s="39">
        <v>278000</v>
      </c>
      <c r="J88" s="40">
        <v>0</v>
      </c>
      <c r="L88" s="37" t="s">
        <v>944</v>
      </c>
      <c r="M88" s="37" t="s">
        <v>4765</v>
      </c>
      <c r="N88" s="37" t="s">
        <v>4766</v>
      </c>
    </row>
    <row r="89" spans="1:14" ht="39.950000000000003" customHeight="1" x14ac:dyDescent="0.25">
      <c r="A89" s="36" t="s">
        <v>4767</v>
      </c>
      <c r="B89" s="37" t="s">
        <v>70</v>
      </c>
      <c r="C89" s="36">
        <v>8401104</v>
      </c>
      <c r="D89" s="37" t="s">
        <v>241</v>
      </c>
      <c r="E89" s="36" t="s">
        <v>4768</v>
      </c>
      <c r="F89" s="21" t="str">
        <f>HYPERLINK("https://psearch.kitsapgov.com/webappa/index.html?parcelID=2068336&amp;Theme=Imagery","2068336")</f>
        <v>2068336</v>
      </c>
      <c r="G89" s="37" t="s">
        <v>4769</v>
      </c>
      <c r="H89" s="38">
        <v>44230</v>
      </c>
      <c r="I89" s="39">
        <v>630000</v>
      </c>
      <c r="J89" s="40">
        <v>0.62</v>
      </c>
      <c r="K89" s="37" t="s">
        <v>492</v>
      </c>
      <c r="L89" s="37" t="s">
        <v>4552</v>
      </c>
      <c r="M89" s="37" t="s">
        <v>4770</v>
      </c>
      <c r="N89" s="37" t="s">
        <v>4771</v>
      </c>
    </row>
    <row r="90" spans="1:14" ht="20.100000000000001" customHeight="1" x14ac:dyDescent="0.25">
      <c r="A90" s="36" t="s">
        <v>4767</v>
      </c>
      <c r="B90" s="37" t="s">
        <v>105</v>
      </c>
      <c r="C90" s="36">
        <v>8401104</v>
      </c>
      <c r="D90" s="37" t="s">
        <v>241</v>
      </c>
      <c r="E90" s="36" t="s">
        <v>4772</v>
      </c>
      <c r="F90" s="21" t="str">
        <f>HYPERLINK("https://psearch.kitsapgov.com/webappa/index.html?parcelID=2193704&amp;Theme=Imagery","2193704")</f>
        <v>2193704</v>
      </c>
      <c r="G90" s="37" t="s">
        <v>4773</v>
      </c>
      <c r="H90" s="38">
        <v>44230</v>
      </c>
      <c r="I90" s="39">
        <v>630000</v>
      </c>
      <c r="J90" s="40">
        <v>0.04</v>
      </c>
      <c r="K90" s="37" t="s">
        <v>492</v>
      </c>
      <c r="L90" s="37" t="s">
        <v>4552</v>
      </c>
      <c r="M90" s="37" t="s">
        <v>4770</v>
      </c>
      <c r="N90" s="37" t="s">
        <v>4771</v>
      </c>
    </row>
    <row r="91" spans="1:14" ht="39.950000000000003" customHeight="1" x14ac:dyDescent="0.25">
      <c r="A91" s="36" t="s">
        <v>4774</v>
      </c>
      <c r="B91" s="37" t="s">
        <v>285</v>
      </c>
      <c r="C91" s="36">
        <v>8400202</v>
      </c>
      <c r="D91" s="37" t="s">
        <v>440</v>
      </c>
      <c r="E91" s="36" t="s">
        <v>4775</v>
      </c>
      <c r="F91" s="21" t="str">
        <f>HYPERLINK("https://psearch.kitsapgov.com/webappa/index.html?parcelID=1333871&amp;Theme=Imagery","1333871")</f>
        <v>1333871</v>
      </c>
      <c r="G91" s="37" t="s">
        <v>4776</v>
      </c>
      <c r="H91" s="38">
        <v>44244</v>
      </c>
      <c r="I91" s="39">
        <v>1449846</v>
      </c>
      <c r="J91" s="40">
        <v>0.74</v>
      </c>
      <c r="K91" s="37" t="s">
        <v>443</v>
      </c>
      <c r="L91" s="37" t="s">
        <v>944</v>
      </c>
      <c r="M91" s="37" t="s">
        <v>4777</v>
      </c>
      <c r="N91" s="37" t="s">
        <v>4778</v>
      </c>
    </row>
    <row r="92" spans="1:14" ht="20.100000000000001" customHeight="1" x14ac:dyDescent="0.25">
      <c r="A92" s="36" t="s">
        <v>4774</v>
      </c>
      <c r="B92" s="37" t="s">
        <v>285</v>
      </c>
      <c r="C92" s="36">
        <v>8401101</v>
      </c>
      <c r="D92" s="37" t="s">
        <v>305</v>
      </c>
      <c r="E92" s="36" t="s">
        <v>4779</v>
      </c>
      <c r="F92" s="21" t="str">
        <f>HYPERLINK("https://psearch.kitsapgov.com/webappa/index.html?parcelID=1238989&amp;Theme=Imagery","1238989")</f>
        <v>1238989</v>
      </c>
      <c r="G92" s="37" t="s">
        <v>4780</v>
      </c>
      <c r="H92" s="38">
        <v>44244</v>
      </c>
      <c r="I92" s="39">
        <v>1449846</v>
      </c>
      <c r="J92" s="40">
        <v>0.9</v>
      </c>
      <c r="K92" s="37" t="s">
        <v>308</v>
      </c>
      <c r="L92" s="37" t="s">
        <v>944</v>
      </c>
      <c r="M92" s="37" t="s">
        <v>4777</v>
      </c>
      <c r="N92" s="37" t="s">
        <v>4778</v>
      </c>
    </row>
    <row r="93" spans="1:14" ht="20.100000000000001" customHeight="1" x14ac:dyDescent="0.25">
      <c r="A93" s="36" t="s">
        <v>4774</v>
      </c>
      <c r="B93" s="37" t="s">
        <v>285</v>
      </c>
      <c r="C93" s="36">
        <v>8402307</v>
      </c>
      <c r="D93" s="37" t="s">
        <v>131</v>
      </c>
      <c r="E93" s="36" t="s">
        <v>4781</v>
      </c>
      <c r="F93" s="21" t="str">
        <f>HYPERLINK("https://psearch.kitsapgov.com/webappa/index.html?parcelID=2023265&amp;Theme=Imagery","2023265")</f>
        <v>2023265</v>
      </c>
      <c r="G93" s="37" t="s">
        <v>4782</v>
      </c>
      <c r="H93" s="38">
        <v>44244</v>
      </c>
      <c r="I93" s="39">
        <v>1449846</v>
      </c>
      <c r="J93" s="40">
        <v>0.65</v>
      </c>
      <c r="K93" s="37" t="s">
        <v>368</v>
      </c>
      <c r="L93" s="37" t="s">
        <v>944</v>
      </c>
      <c r="M93" s="37" t="s">
        <v>4783</v>
      </c>
      <c r="N93" s="37" t="s">
        <v>4784</v>
      </c>
    </row>
    <row r="94" spans="1:14" ht="20.100000000000001" customHeight="1" x14ac:dyDescent="0.25">
      <c r="A94" s="36" t="s">
        <v>4774</v>
      </c>
      <c r="B94" s="37" t="s">
        <v>130</v>
      </c>
      <c r="C94" s="36">
        <v>8401508</v>
      </c>
      <c r="D94" s="37" t="s">
        <v>1341</v>
      </c>
      <c r="E94" s="36" t="s">
        <v>3390</v>
      </c>
      <c r="F94" s="21" t="str">
        <f>HYPERLINK("https://psearch.kitsapgov.com/webappa/index.html?parcelID=2020543&amp;Theme=Imagery","2020543")</f>
        <v>2020543</v>
      </c>
      <c r="G94" s="37" t="s">
        <v>3391</v>
      </c>
      <c r="H94" s="38">
        <v>44244</v>
      </c>
      <c r="I94" s="39">
        <v>1449846</v>
      </c>
      <c r="J94" s="40">
        <v>1.48</v>
      </c>
      <c r="K94" s="37" t="s">
        <v>37</v>
      </c>
      <c r="L94" s="37" t="s">
        <v>944</v>
      </c>
      <c r="M94" s="37" t="s">
        <v>4777</v>
      </c>
      <c r="N94" s="37" t="s">
        <v>4778</v>
      </c>
    </row>
    <row r="95" spans="1:14" ht="20.100000000000001" customHeight="1" x14ac:dyDescent="0.25">
      <c r="A95" s="36" t="s">
        <v>4774</v>
      </c>
      <c r="B95" s="37" t="s">
        <v>285</v>
      </c>
      <c r="C95" s="36">
        <v>8100501</v>
      </c>
      <c r="D95" s="37" t="s">
        <v>63</v>
      </c>
      <c r="E95" s="36" t="s">
        <v>4785</v>
      </c>
      <c r="F95" s="21" t="str">
        <f>HYPERLINK("https://psearch.kitsapgov.com/webappa/index.html?parcelID=1441252&amp;Theme=Imagery","1441252")</f>
        <v>1441252</v>
      </c>
      <c r="G95" s="37" t="s">
        <v>4786</v>
      </c>
      <c r="H95" s="38">
        <v>44244</v>
      </c>
      <c r="I95" s="39">
        <v>1449846</v>
      </c>
      <c r="J95" s="40">
        <v>0.67</v>
      </c>
      <c r="K95" s="37" t="s">
        <v>773</v>
      </c>
      <c r="L95" s="37" t="s">
        <v>944</v>
      </c>
      <c r="M95" s="37" t="s">
        <v>4783</v>
      </c>
      <c r="N95" s="37" t="s">
        <v>4784</v>
      </c>
    </row>
    <row r="96" spans="1:14" ht="20.100000000000001" customHeight="1" x14ac:dyDescent="0.25">
      <c r="A96" s="36" t="s">
        <v>4774</v>
      </c>
      <c r="B96" s="37" t="s">
        <v>285</v>
      </c>
      <c r="C96" s="36">
        <v>8100502</v>
      </c>
      <c r="D96" s="37" t="s">
        <v>142</v>
      </c>
      <c r="E96" s="36" t="s">
        <v>4787</v>
      </c>
      <c r="F96" s="21" t="str">
        <f>HYPERLINK("https://psearch.kitsapgov.com/webappa/index.html?parcelID=1457258&amp;Theme=Imagery","1457258")</f>
        <v>1457258</v>
      </c>
      <c r="G96" s="37" t="s">
        <v>4788</v>
      </c>
      <c r="H96" s="38">
        <v>44244</v>
      </c>
      <c r="I96" s="39">
        <v>1449846</v>
      </c>
      <c r="J96" s="40">
        <v>1</v>
      </c>
      <c r="K96" s="37" t="s">
        <v>168</v>
      </c>
      <c r="L96" s="37" t="s">
        <v>944</v>
      </c>
      <c r="M96" s="37" t="s">
        <v>4783</v>
      </c>
      <c r="N96" s="37" t="s">
        <v>4784</v>
      </c>
    </row>
    <row r="97" spans="1:14" ht="20.100000000000001" customHeight="1" x14ac:dyDescent="0.25">
      <c r="A97" s="36" t="s">
        <v>4774</v>
      </c>
      <c r="B97" s="37" t="s">
        <v>1759</v>
      </c>
      <c r="C97" s="36">
        <v>8402307</v>
      </c>
      <c r="D97" s="37" t="s">
        <v>131</v>
      </c>
      <c r="E97" s="36" t="s">
        <v>4789</v>
      </c>
      <c r="F97" s="21" t="str">
        <f>HYPERLINK("https://psearch.kitsapgov.com/webappa/index.html?parcelID=2500338&amp;Theme=Imagery","2500338")</f>
        <v>2500338</v>
      </c>
      <c r="G97" s="37" t="s">
        <v>4790</v>
      </c>
      <c r="H97" s="38">
        <v>44244</v>
      </c>
      <c r="I97" s="39">
        <v>1449846</v>
      </c>
      <c r="J97" s="40">
        <v>0.51</v>
      </c>
      <c r="K97" s="37" t="s">
        <v>368</v>
      </c>
      <c r="L97" s="37" t="s">
        <v>944</v>
      </c>
      <c r="M97" s="37" t="s">
        <v>4777</v>
      </c>
      <c r="N97" s="37" t="s">
        <v>4778</v>
      </c>
    </row>
    <row r="98" spans="1:14" ht="39.950000000000003" customHeight="1" x14ac:dyDescent="0.25">
      <c r="A98" s="36" t="s">
        <v>4791</v>
      </c>
      <c r="B98" s="37" t="s">
        <v>834</v>
      </c>
      <c r="C98" s="36">
        <v>8400204</v>
      </c>
      <c r="D98" s="37" t="s">
        <v>194</v>
      </c>
      <c r="E98" s="36" t="s">
        <v>4792</v>
      </c>
      <c r="F98" s="21" t="str">
        <f>HYPERLINK("https://psearch.kitsapgov.com/webappa/index.html?parcelID=2260610&amp;Theme=Imagery","2260610")</f>
        <v>2260610</v>
      </c>
      <c r="G98" s="37" t="s">
        <v>4793</v>
      </c>
      <c r="H98" s="38">
        <v>44235</v>
      </c>
      <c r="I98" s="39">
        <v>27500</v>
      </c>
      <c r="J98" s="40">
        <v>0.09</v>
      </c>
      <c r="K98" s="37" t="s">
        <v>2040</v>
      </c>
      <c r="L98" s="37" t="s">
        <v>94</v>
      </c>
      <c r="M98" s="37" t="s">
        <v>4794</v>
      </c>
      <c r="N98" s="37" t="s">
        <v>4795</v>
      </c>
    </row>
    <row r="99" spans="1:14" ht="20.100000000000001" customHeight="1" x14ac:dyDescent="0.25">
      <c r="A99" s="36" t="s">
        <v>4791</v>
      </c>
      <c r="B99" s="37" t="s">
        <v>834</v>
      </c>
      <c r="C99" s="36">
        <v>8400204</v>
      </c>
      <c r="D99" s="37" t="s">
        <v>194</v>
      </c>
      <c r="E99" s="36" t="s">
        <v>4796</v>
      </c>
      <c r="F99" s="21" t="str">
        <f>HYPERLINK("https://psearch.kitsapgov.com/webappa/index.html?parcelID=2260628&amp;Theme=Imagery","2260628")</f>
        <v>2260628</v>
      </c>
      <c r="G99" s="37" t="s">
        <v>4793</v>
      </c>
      <c r="H99" s="38">
        <v>44235</v>
      </c>
      <c r="I99" s="39">
        <v>27500</v>
      </c>
      <c r="J99" s="40">
        <v>0.09</v>
      </c>
      <c r="K99" s="37" t="s">
        <v>2040</v>
      </c>
      <c r="L99" s="37" t="s">
        <v>94</v>
      </c>
      <c r="M99" s="37" t="s">
        <v>4794</v>
      </c>
      <c r="N99" s="37" t="s">
        <v>4795</v>
      </c>
    </row>
    <row r="100" spans="1:14" ht="20.100000000000001" customHeight="1" x14ac:dyDescent="0.25">
      <c r="A100" s="36" t="s">
        <v>4791</v>
      </c>
      <c r="B100" s="37" t="s">
        <v>834</v>
      </c>
      <c r="C100" s="36">
        <v>8400204</v>
      </c>
      <c r="D100" s="37" t="s">
        <v>194</v>
      </c>
      <c r="E100" s="36" t="s">
        <v>4797</v>
      </c>
      <c r="F100" s="21" t="str">
        <f>HYPERLINK("https://psearch.kitsapgov.com/webappa/index.html?parcelID=2260636&amp;Theme=Imagery","2260636")</f>
        <v>2260636</v>
      </c>
      <c r="G100" s="37" t="s">
        <v>4798</v>
      </c>
      <c r="H100" s="38">
        <v>44235</v>
      </c>
      <c r="I100" s="39">
        <v>27500</v>
      </c>
      <c r="J100" s="40">
        <v>0.09</v>
      </c>
      <c r="K100" s="37" t="s">
        <v>2040</v>
      </c>
      <c r="L100" s="37" t="s">
        <v>94</v>
      </c>
      <c r="M100" s="37" t="s">
        <v>4794</v>
      </c>
      <c r="N100" s="37" t="s">
        <v>4795</v>
      </c>
    </row>
    <row r="101" spans="1:14" ht="20.100000000000001" customHeight="1" x14ac:dyDescent="0.25">
      <c r="A101" s="36" t="s">
        <v>4791</v>
      </c>
      <c r="B101" s="37" t="s">
        <v>834</v>
      </c>
      <c r="C101" s="36">
        <v>8400204</v>
      </c>
      <c r="D101" s="37" t="s">
        <v>194</v>
      </c>
      <c r="E101" s="36" t="s">
        <v>4799</v>
      </c>
      <c r="F101" s="21" t="str">
        <f>HYPERLINK("https://psearch.kitsapgov.com/webappa/index.html?parcelID=2260644&amp;Theme=Imagery","2260644")</f>
        <v>2260644</v>
      </c>
      <c r="G101" s="37" t="s">
        <v>4800</v>
      </c>
      <c r="H101" s="38">
        <v>44235</v>
      </c>
      <c r="I101" s="39">
        <v>27500</v>
      </c>
      <c r="J101" s="40">
        <v>0.09</v>
      </c>
      <c r="K101" s="37" t="s">
        <v>2040</v>
      </c>
      <c r="L101" s="37" t="s">
        <v>94</v>
      </c>
      <c r="M101" s="37" t="s">
        <v>4794</v>
      </c>
      <c r="N101" s="37" t="s">
        <v>4795</v>
      </c>
    </row>
    <row r="102" spans="1:14" ht="20.100000000000001" customHeight="1" x14ac:dyDescent="0.25">
      <c r="A102" s="36" t="s">
        <v>4791</v>
      </c>
      <c r="B102" s="37" t="s">
        <v>834</v>
      </c>
      <c r="C102" s="36">
        <v>8400204</v>
      </c>
      <c r="D102" s="37" t="s">
        <v>194</v>
      </c>
      <c r="E102" s="36" t="s">
        <v>4801</v>
      </c>
      <c r="F102" s="21" t="str">
        <f>HYPERLINK("https://psearch.kitsapgov.com/webappa/index.html?parcelID=2260651&amp;Theme=Imagery","2260651")</f>
        <v>2260651</v>
      </c>
      <c r="G102" s="37" t="s">
        <v>4802</v>
      </c>
      <c r="H102" s="38">
        <v>44235</v>
      </c>
      <c r="I102" s="39">
        <v>27500</v>
      </c>
      <c r="J102" s="40">
        <v>0.09</v>
      </c>
      <c r="K102" s="37" t="s">
        <v>2040</v>
      </c>
      <c r="L102" s="37" t="s">
        <v>94</v>
      </c>
      <c r="M102" s="37" t="s">
        <v>4794</v>
      </c>
      <c r="N102" s="37" t="s">
        <v>4795</v>
      </c>
    </row>
    <row r="103" spans="1:14" ht="20.100000000000001" customHeight="1" x14ac:dyDescent="0.25">
      <c r="A103" s="36" t="s">
        <v>4791</v>
      </c>
      <c r="B103" s="37" t="s">
        <v>834</v>
      </c>
      <c r="C103" s="36">
        <v>8400204</v>
      </c>
      <c r="D103" s="37" t="s">
        <v>194</v>
      </c>
      <c r="E103" s="36" t="s">
        <v>4803</v>
      </c>
      <c r="F103" s="21" t="str">
        <f>HYPERLINK("https://psearch.kitsapgov.com/webappa/index.html?parcelID=2260669&amp;Theme=Imagery","2260669")</f>
        <v>2260669</v>
      </c>
      <c r="G103" s="37" t="s">
        <v>4804</v>
      </c>
      <c r="H103" s="38">
        <v>44235</v>
      </c>
      <c r="I103" s="39">
        <v>27500</v>
      </c>
      <c r="J103" s="40">
        <v>0.09</v>
      </c>
      <c r="K103" s="37" t="s">
        <v>2040</v>
      </c>
      <c r="L103" s="37" t="s">
        <v>94</v>
      </c>
      <c r="M103" s="37" t="s">
        <v>4794</v>
      </c>
      <c r="N103" s="37" t="s">
        <v>4795</v>
      </c>
    </row>
    <row r="104" spans="1:14" ht="20.100000000000001" customHeight="1" x14ac:dyDescent="0.25">
      <c r="A104" s="36" t="s">
        <v>4791</v>
      </c>
      <c r="B104" s="37" t="s">
        <v>834</v>
      </c>
      <c r="C104" s="36">
        <v>8400204</v>
      </c>
      <c r="D104" s="37" t="s">
        <v>194</v>
      </c>
      <c r="E104" s="36" t="s">
        <v>4805</v>
      </c>
      <c r="F104" s="21" t="str">
        <f>HYPERLINK("https://psearch.kitsapgov.com/webappa/index.html?parcelID=2260677&amp;Theme=Imagery","2260677")</f>
        <v>2260677</v>
      </c>
      <c r="G104" s="37" t="s">
        <v>4806</v>
      </c>
      <c r="H104" s="38">
        <v>44235</v>
      </c>
      <c r="I104" s="39">
        <v>27500</v>
      </c>
      <c r="J104" s="40">
        <v>0.08</v>
      </c>
      <c r="K104" s="37" t="s">
        <v>2040</v>
      </c>
      <c r="L104" s="37" t="s">
        <v>94</v>
      </c>
      <c r="M104" s="37" t="s">
        <v>4794</v>
      </c>
      <c r="N104" s="37" t="s">
        <v>4795</v>
      </c>
    </row>
    <row r="105" spans="1:14" ht="20.100000000000001" customHeight="1" x14ac:dyDescent="0.25">
      <c r="A105" s="36" t="s">
        <v>4791</v>
      </c>
      <c r="B105" s="37" t="s">
        <v>834</v>
      </c>
      <c r="C105" s="36">
        <v>8400204</v>
      </c>
      <c r="D105" s="37" t="s">
        <v>194</v>
      </c>
      <c r="E105" s="36" t="s">
        <v>4807</v>
      </c>
      <c r="F105" s="21" t="str">
        <f>HYPERLINK("https://psearch.kitsapgov.com/webappa/index.html?parcelID=2260685&amp;Theme=Imagery","2260685")</f>
        <v>2260685</v>
      </c>
      <c r="G105" s="37" t="s">
        <v>4808</v>
      </c>
      <c r="H105" s="38">
        <v>44235</v>
      </c>
      <c r="I105" s="39">
        <v>27500</v>
      </c>
      <c r="J105" s="40">
        <v>0.08</v>
      </c>
      <c r="K105" s="37" t="s">
        <v>2040</v>
      </c>
      <c r="L105" s="37" t="s">
        <v>94</v>
      </c>
      <c r="M105" s="37" t="s">
        <v>4794</v>
      </c>
      <c r="N105" s="37" t="s">
        <v>4795</v>
      </c>
    </row>
    <row r="106" spans="1:14" ht="20.100000000000001" customHeight="1" x14ac:dyDescent="0.25">
      <c r="A106" s="36" t="s">
        <v>4791</v>
      </c>
      <c r="B106" s="37" t="s">
        <v>3685</v>
      </c>
      <c r="C106" s="36">
        <v>8400204</v>
      </c>
      <c r="D106" s="37" t="s">
        <v>194</v>
      </c>
      <c r="E106" s="36" t="s">
        <v>4809</v>
      </c>
      <c r="F106" s="21" t="str">
        <f>HYPERLINK("https://psearch.kitsapgov.com/webappa/index.html?parcelID=2260693&amp;Theme=Imagery","2260693")</f>
        <v>2260693</v>
      </c>
      <c r="G106" s="37" t="s">
        <v>4810</v>
      </c>
      <c r="H106" s="38">
        <v>44235</v>
      </c>
      <c r="I106" s="39">
        <v>27500</v>
      </c>
      <c r="J106" s="40">
        <v>2.2799999999999998</v>
      </c>
      <c r="K106" s="37" t="s">
        <v>2040</v>
      </c>
      <c r="L106" s="37" t="s">
        <v>94</v>
      </c>
      <c r="M106" s="37" t="s">
        <v>4794</v>
      </c>
      <c r="N106" s="37" t="s">
        <v>4795</v>
      </c>
    </row>
    <row r="107" spans="1:14" ht="39.950000000000003" customHeight="1" x14ac:dyDescent="0.25">
      <c r="A107" s="36" t="s">
        <v>4811</v>
      </c>
      <c r="B107" s="37" t="s">
        <v>24</v>
      </c>
      <c r="C107" s="36">
        <v>96</v>
      </c>
      <c r="D107" s="37" t="s">
        <v>4812</v>
      </c>
      <c r="E107" s="36" t="s">
        <v>4813</v>
      </c>
      <c r="F107" s="21" t="str">
        <f>HYPERLINK("https://psearch.kitsapgov.com/webappa/index.html?parcelID=1328509&amp;Theme=Imagery","1328509")</f>
        <v>1328509</v>
      </c>
      <c r="G107" s="37" t="s">
        <v>4814</v>
      </c>
      <c r="H107" s="38">
        <v>44258</v>
      </c>
      <c r="I107" s="39">
        <v>2700000</v>
      </c>
      <c r="J107" s="40">
        <v>7.41</v>
      </c>
      <c r="K107" s="37" t="s">
        <v>1897</v>
      </c>
      <c r="L107" s="37" t="s">
        <v>190</v>
      </c>
      <c r="M107" s="37" t="s">
        <v>4815</v>
      </c>
      <c r="N107" s="37" t="s">
        <v>1571</v>
      </c>
    </row>
    <row r="108" spans="1:14" ht="39.950000000000003" customHeight="1" x14ac:dyDescent="0.25">
      <c r="A108" s="36" t="s">
        <v>4816</v>
      </c>
      <c r="B108" s="37" t="s">
        <v>202</v>
      </c>
      <c r="C108" s="36">
        <v>9400204</v>
      </c>
      <c r="D108" s="37" t="s">
        <v>884</v>
      </c>
      <c r="E108" s="36" t="s">
        <v>4817</v>
      </c>
      <c r="F108" s="21" t="str">
        <f>HYPERLINK("https://psearch.kitsapgov.com/webappa/index.html?parcelID=2096972&amp;Theme=Imagery","2096972")</f>
        <v>2096972</v>
      </c>
      <c r="G108" s="37" t="s">
        <v>4818</v>
      </c>
      <c r="H108" s="38">
        <v>44256</v>
      </c>
      <c r="I108" s="39">
        <v>850000</v>
      </c>
      <c r="J108" s="40">
        <v>3</v>
      </c>
      <c r="K108" s="37" t="s">
        <v>205</v>
      </c>
      <c r="L108" s="37" t="s">
        <v>190</v>
      </c>
      <c r="M108" s="37" t="s">
        <v>4819</v>
      </c>
      <c r="N108" s="37" t="s">
        <v>4815</v>
      </c>
    </row>
    <row r="109" spans="1:14" ht="20.100000000000001" customHeight="1" x14ac:dyDescent="0.25">
      <c r="A109" s="36" t="s">
        <v>4816</v>
      </c>
      <c r="B109" s="37" t="s">
        <v>202</v>
      </c>
      <c r="C109" s="36">
        <v>9400204</v>
      </c>
      <c r="D109" s="37" t="s">
        <v>884</v>
      </c>
      <c r="E109" s="36" t="s">
        <v>4820</v>
      </c>
      <c r="F109" s="21" t="str">
        <f>HYPERLINK("https://psearch.kitsapgov.com/webappa/index.html?parcelID=2207785&amp;Theme=Imagery","2207785")</f>
        <v>2207785</v>
      </c>
      <c r="G109" s="37" t="s">
        <v>4821</v>
      </c>
      <c r="H109" s="38">
        <v>44256</v>
      </c>
      <c r="I109" s="39">
        <v>850000</v>
      </c>
      <c r="J109" s="40">
        <v>3.64</v>
      </c>
      <c r="K109" s="37" t="s">
        <v>205</v>
      </c>
      <c r="L109" s="37" t="s">
        <v>190</v>
      </c>
      <c r="M109" s="37" t="s">
        <v>4819</v>
      </c>
      <c r="N109" s="37" t="s">
        <v>4815</v>
      </c>
    </row>
    <row r="110" spans="1:14" ht="39.950000000000003" customHeight="1" x14ac:dyDescent="0.25">
      <c r="A110" s="36" t="s">
        <v>4822</v>
      </c>
      <c r="B110" s="37" t="s">
        <v>105</v>
      </c>
      <c r="C110" s="36">
        <v>8303601</v>
      </c>
      <c r="D110" s="37" t="s">
        <v>25</v>
      </c>
      <c r="E110" s="36" t="s">
        <v>4823</v>
      </c>
      <c r="F110" s="21" t="str">
        <f>HYPERLINK("https://psearch.kitsapgov.com/webappa/index.html?parcelID=2646214&amp;Theme=Imagery","2646214")</f>
        <v>2646214</v>
      </c>
      <c r="G110" s="37" t="s">
        <v>4824</v>
      </c>
      <c r="H110" s="38">
        <v>44266</v>
      </c>
      <c r="I110" s="39">
        <v>3150000</v>
      </c>
      <c r="J110" s="40">
        <v>1.2</v>
      </c>
      <c r="K110" s="37" t="s">
        <v>2251</v>
      </c>
      <c r="L110" s="37" t="s">
        <v>4517</v>
      </c>
      <c r="M110" s="37" t="s">
        <v>4825</v>
      </c>
      <c r="N110" s="37" t="s">
        <v>4826</v>
      </c>
    </row>
    <row r="111" spans="1:14" ht="20.100000000000001" customHeight="1" x14ac:dyDescent="0.25">
      <c r="A111" s="36" t="s">
        <v>4822</v>
      </c>
      <c r="B111" s="37" t="s">
        <v>105</v>
      </c>
      <c r="C111" s="36">
        <v>8303601</v>
      </c>
      <c r="D111" s="37" t="s">
        <v>25</v>
      </c>
      <c r="E111" s="36" t="s">
        <v>4827</v>
      </c>
      <c r="F111" s="21" t="str">
        <f>HYPERLINK("https://psearch.kitsapgov.com/webappa/index.html?parcelID=2646222&amp;Theme=Imagery","2646222")</f>
        <v>2646222</v>
      </c>
      <c r="G111" s="37" t="s">
        <v>4828</v>
      </c>
      <c r="H111" s="38">
        <v>44266</v>
      </c>
      <c r="I111" s="39">
        <v>3150000</v>
      </c>
      <c r="J111" s="40">
        <v>0.33</v>
      </c>
      <c r="K111" s="37" t="s">
        <v>2251</v>
      </c>
      <c r="L111" s="37" t="s">
        <v>4517</v>
      </c>
      <c r="M111" s="37" t="s">
        <v>4825</v>
      </c>
      <c r="N111" s="37" t="s">
        <v>4826</v>
      </c>
    </row>
    <row r="112" spans="1:14" ht="39.950000000000003" customHeight="1" x14ac:dyDescent="0.25">
      <c r="A112" s="36" t="s">
        <v>4829</v>
      </c>
      <c r="B112" s="37" t="s">
        <v>78</v>
      </c>
      <c r="C112" s="36">
        <v>8100501</v>
      </c>
      <c r="D112" s="37" t="s">
        <v>63</v>
      </c>
      <c r="E112" s="36" t="s">
        <v>4830</v>
      </c>
      <c r="F112" s="21" t="str">
        <f>HYPERLINK("https://psearch.kitsapgov.com/webappa/index.html?parcelID=1441278&amp;Theme=Imagery","1441278")</f>
        <v>1441278</v>
      </c>
      <c r="G112" s="37" t="s">
        <v>4831</v>
      </c>
      <c r="H112" s="38">
        <v>44280</v>
      </c>
      <c r="I112" s="39">
        <v>525000</v>
      </c>
      <c r="J112" s="40">
        <v>0.11</v>
      </c>
      <c r="K112" s="37" t="s">
        <v>773</v>
      </c>
      <c r="L112" s="37" t="s">
        <v>4517</v>
      </c>
      <c r="M112" s="37" t="s">
        <v>4832</v>
      </c>
      <c r="N112" s="37" t="s">
        <v>1370</v>
      </c>
    </row>
    <row r="113" spans="1:14" ht="20.100000000000001" customHeight="1" x14ac:dyDescent="0.25">
      <c r="A113" s="36" t="s">
        <v>4829</v>
      </c>
      <c r="B113" s="37" t="s">
        <v>78</v>
      </c>
      <c r="C113" s="36">
        <v>8100501</v>
      </c>
      <c r="D113" s="37" t="s">
        <v>63</v>
      </c>
      <c r="E113" s="36" t="s">
        <v>4833</v>
      </c>
      <c r="F113" s="21" t="str">
        <f>HYPERLINK("https://psearch.kitsapgov.com/webappa/index.html?parcelID=1441286&amp;Theme=Imagery","1441286")</f>
        <v>1441286</v>
      </c>
      <c r="G113" s="37" t="s">
        <v>4834</v>
      </c>
      <c r="H113" s="38">
        <v>44280</v>
      </c>
      <c r="I113" s="39">
        <v>525000</v>
      </c>
      <c r="J113" s="40">
        <v>0.11</v>
      </c>
      <c r="K113" s="37" t="s">
        <v>773</v>
      </c>
      <c r="L113" s="37" t="s">
        <v>4517</v>
      </c>
      <c r="M113" s="37" t="s">
        <v>4835</v>
      </c>
      <c r="N113" s="37" t="s">
        <v>4836</v>
      </c>
    </row>
    <row r="114" spans="1:14" ht="39.950000000000003" customHeight="1" x14ac:dyDescent="0.25">
      <c r="A114" s="36" t="s">
        <v>4837</v>
      </c>
      <c r="B114" s="37" t="s">
        <v>24</v>
      </c>
      <c r="C114" s="36">
        <v>8100506</v>
      </c>
      <c r="D114" s="37" t="s">
        <v>286</v>
      </c>
      <c r="E114" s="36" t="s">
        <v>4838</v>
      </c>
      <c r="F114" s="21" t="str">
        <f>HYPERLINK("https://psearch.kitsapgov.com/webappa/index.html?parcelID=1476191&amp;Theme=Imagery","1476191")</f>
        <v>1476191</v>
      </c>
      <c r="G114" s="37" t="s">
        <v>4839</v>
      </c>
      <c r="H114" s="38">
        <v>44286</v>
      </c>
      <c r="I114" s="39">
        <v>625000</v>
      </c>
      <c r="J114" s="40">
        <v>0.04</v>
      </c>
      <c r="K114" s="37" t="s">
        <v>980</v>
      </c>
      <c r="L114" s="37" t="s">
        <v>4517</v>
      </c>
      <c r="M114" s="37" t="s">
        <v>4840</v>
      </c>
      <c r="N114" s="37" t="s">
        <v>4841</v>
      </c>
    </row>
    <row r="115" spans="1:14" ht="20.100000000000001" customHeight="1" x14ac:dyDescent="0.25">
      <c r="A115" s="36" t="s">
        <v>4837</v>
      </c>
      <c r="B115" s="37" t="s">
        <v>105</v>
      </c>
      <c r="C115" s="36">
        <v>7100543</v>
      </c>
      <c r="D115" s="37" t="s">
        <v>4842</v>
      </c>
      <c r="E115" s="36" t="s">
        <v>4843</v>
      </c>
      <c r="F115" s="21" t="str">
        <f>HYPERLINK("https://psearch.kitsapgov.com/webappa/index.html?parcelID=2169928&amp;Theme=Imagery","2169928")</f>
        <v>2169928</v>
      </c>
      <c r="G115" s="37" t="s">
        <v>4844</v>
      </c>
      <c r="H115" s="38">
        <v>44286</v>
      </c>
      <c r="I115" s="39">
        <v>625000</v>
      </c>
      <c r="J115" s="40">
        <v>0.08</v>
      </c>
      <c r="K115" s="37" t="s">
        <v>980</v>
      </c>
      <c r="L115" s="37" t="s">
        <v>4517</v>
      </c>
      <c r="M115" s="37" t="s">
        <v>4840</v>
      </c>
      <c r="N115" s="37" t="s">
        <v>4841</v>
      </c>
    </row>
    <row r="116" spans="1:14" ht="20.100000000000001" customHeight="1" x14ac:dyDescent="0.25">
      <c r="A116" s="36" t="s">
        <v>4837</v>
      </c>
      <c r="B116" s="37" t="s">
        <v>159</v>
      </c>
      <c r="C116" s="36">
        <v>8100506</v>
      </c>
      <c r="D116" s="37" t="s">
        <v>286</v>
      </c>
      <c r="E116" s="36" t="s">
        <v>4845</v>
      </c>
      <c r="F116" s="21" t="str">
        <f>HYPERLINK("https://psearch.kitsapgov.com/webappa/index.html?parcelID=2169936&amp;Theme=Imagery","2169936")</f>
        <v>2169936</v>
      </c>
      <c r="G116" s="37" t="s">
        <v>4846</v>
      </c>
      <c r="H116" s="38">
        <v>44286</v>
      </c>
      <c r="I116" s="39">
        <v>625000</v>
      </c>
      <c r="J116" s="40">
        <v>0.06</v>
      </c>
      <c r="K116" s="37" t="s">
        <v>980</v>
      </c>
      <c r="L116" s="37" t="s">
        <v>4517</v>
      </c>
      <c r="M116" s="37" t="s">
        <v>4840</v>
      </c>
      <c r="N116" s="37" t="s">
        <v>4841</v>
      </c>
    </row>
    <row r="117" spans="1:14" ht="39.950000000000003" customHeight="1" x14ac:dyDescent="0.25">
      <c r="A117" s="36" t="s">
        <v>4847</v>
      </c>
      <c r="B117" s="37" t="s">
        <v>105</v>
      </c>
      <c r="C117" s="36">
        <v>8402307</v>
      </c>
      <c r="D117" s="37" t="s">
        <v>131</v>
      </c>
      <c r="E117" s="36" t="s">
        <v>4848</v>
      </c>
      <c r="F117" s="21" t="str">
        <f>HYPERLINK("https://psearch.kitsapgov.com/webappa/index.html?parcelID=2607695&amp;Theme=Imagery","2607695")</f>
        <v>2607695</v>
      </c>
      <c r="G117" s="37" t="s">
        <v>4849</v>
      </c>
      <c r="H117" s="38">
        <v>44293</v>
      </c>
      <c r="I117" s="39">
        <v>3100000</v>
      </c>
      <c r="J117" s="40">
        <v>1.77</v>
      </c>
      <c r="K117" s="37" t="s">
        <v>37</v>
      </c>
      <c r="L117" s="37" t="s">
        <v>4517</v>
      </c>
      <c r="M117" s="37" t="s">
        <v>4850</v>
      </c>
      <c r="N117" s="37" t="s">
        <v>4851</v>
      </c>
    </row>
    <row r="118" spans="1:14" ht="20.100000000000001" customHeight="1" x14ac:dyDescent="0.25">
      <c r="A118" s="36" t="s">
        <v>4847</v>
      </c>
      <c r="B118" s="37" t="s">
        <v>222</v>
      </c>
      <c r="C118" s="36">
        <v>8402307</v>
      </c>
      <c r="D118" s="37" t="s">
        <v>131</v>
      </c>
      <c r="E118" s="36" t="s">
        <v>4852</v>
      </c>
      <c r="F118" s="21" t="str">
        <f>HYPERLINK("https://psearch.kitsapgov.com/webappa/index.html?parcelID=2607703&amp;Theme=Imagery","2607703")</f>
        <v>2607703</v>
      </c>
      <c r="G118" s="37" t="s">
        <v>4853</v>
      </c>
      <c r="H118" s="38">
        <v>44293</v>
      </c>
      <c r="I118" s="39">
        <v>3100000</v>
      </c>
      <c r="J118" s="40">
        <v>7.79</v>
      </c>
      <c r="K118" s="37" t="s">
        <v>37</v>
      </c>
      <c r="L118" s="37" t="s">
        <v>4517</v>
      </c>
      <c r="M118" s="37" t="s">
        <v>4850</v>
      </c>
      <c r="N118" s="37" t="s">
        <v>4851</v>
      </c>
    </row>
    <row r="119" spans="1:14" ht="39.950000000000003" customHeight="1" x14ac:dyDescent="0.25">
      <c r="A119" s="36" t="s">
        <v>4854</v>
      </c>
      <c r="B119" s="37" t="s">
        <v>1948</v>
      </c>
      <c r="C119" s="36">
        <v>8402307</v>
      </c>
      <c r="D119" s="37" t="s">
        <v>131</v>
      </c>
      <c r="E119" s="36" t="s">
        <v>4855</v>
      </c>
      <c r="F119" s="21" t="str">
        <f>HYPERLINK("https://psearch.kitsapgov.com/webappa/index.html?parcelID=1175215&amp;Theme=Imagery","1175215")</f>
        <v>1175215</v>
      </c>
      <c r="G119" s="37" t="s">
        <v>4856</v>
      </c>
      <c r="H119" s="38">
        <v>44316</v>
      </c>
      <c r="I119" s="39">
        <v>9400000</v>
      </c>
      <c r="J119" s="40">
        <v>0</v>
      </c>
      <c r="L119" s="37" t="s">
        <v>4517</v>
      </c>
      <c r="M119" s="37" t="s">
        <v>1383</v>
      </c>
      <c r="N119" s="37" t="s">
        <v>4857</v>
      </c>
    </row>
    <row r="120" spans="1:14" ht="20.100000000000001" customHeight="1" x14ac:dyDescent="0.25">
      <c r="A120" s="36" t="s">
        <v>4854</v>
      </c>
      <c r="B120" s="37" t="s">
        <v>1948</v>
      </c>
      <c r="C120" s="36">
        <v>8402307</v>
      </c>
      <c r="D120" s="37" t="s">
        <v>131</v>
      </c>
      <c r="E120" s="36" t="s">
        <v>4858</v>
      </c>
      <c r="F120" s="21" t="str">
        <f>HYPERLINK("https://psearch.kitsapgov.com/webappa/index.html?parcelID=1175314&amp;Theme=Imagery","1175314")</f>
        <v>1175314</v>
      </c>
      <c r="G120" s="37" t="s">
        <v>4859</v>
      </c>
      <c r="H120" s="38">
        <v>44316</v>
      </c>
      <c r="I120" s="39">
        <v>9400000</v>
      </c>
      <c r="J120" s="40">
        <v>0</v>
      </c>
      <c r="L120" s="37" t="s">
        <v>4517</v>
      </c>
      <c r="M120" s="37" t="s">
        <v>1383</v>
      </c>
      <c r="N120" s="37" t="s">
        <v>4857</v>
      </c>
    </row>
    <row r="121" spans="1:14" ht="20.100000000000001" customHeight="1" x14ac:dyDescent="0.25">
      <c r="A121" s="36" t="s">
        <v>4854</v>
      </c>
      <c r="B121" s="37" t="s">
        <v>1948</v>
      </c>
      <c r="C121" s="36">
        <v>8402307</v>
      </c>
      <c r="D121" s="37" t="s">
        <v>131</v>
      </c>
      <c r="E121" s="36" t="s">
        <v>4860</v>
      </c>
      <c r="F121" s="21" t="str">
        <f>HYPERLINK("https://psearch.kitsapgov.com/webappa/index.html?parcelID=1175322&amp;Theme=Imagery","1175322")</f>
        <v>1175322</v>
      </c>
      <c r="G121" s="37" t="s">
        <v>4861</v>
      </c>
      <c r="H121" s="38">
        <v>44316</v>
      </c>
      <c r="I121" s="39">
        <v>9400000</v>
      </c>
      <c r="J121" s="40">
        <v>0</v>
      </c>
      <c r="L121" s="37" t="s">
        <v>4517</v>
      </c>
      <c r="M121" s="37" t="s">
        <v>1383</v>
      </c>
      <c r="N121" s="37" t="s">
        <v>4857</v>
      </c>
    </row>
    <row r="122" spans="1:14" ht="20.100000000000001" customHeight="1" x14ac:dyDescent="0.25">
      <c r="A122" s="36" t="s">
        <v>4854</v>
      </c>
      <c r="B122" s="37" t="s">
        <v>1948</v>
      </c>
      <c r="C122" s="36">
        <v>8402307</v>
      </c>
      <c r="D122" s="37" t="s">
        <v>131</v>
      </c>
      <c r="E122" s="36" t="s">
        <v>4862</v>
      </c>
      <c r="F122" s="21" t="str">
        <f>HYPERLINK("https://psearch.kitsapgov.com/webappa/index.html?parcelID=1175439&amp;Theme=Imagery","1175439")</f>
        <v>1175439</v>
      </c>
      <c r="G122" s="37" t="s">
        <v>4863</v>
      </c>
      <c r="H122" s="38">
        <v>44316</v>
      </c>
      <c r="I122" s="39">
        <v>9400000</v>
      </c>
      <c r="J122" s="40">
        <v>0</v>
      </c>
      <c r="L122" s="37" t="s">
        <v>4517</v>
      </c>
      <c r="M122" s="37" t="s">
        <v>1383</v>
      </c>
      <c r="N122" s="37" t="s">
        <v>4857</v>
      </c>
    </row>
    <row r="123" spans="1:14" ht="20.100000000000001" customHeight="1" x14ac:dyDescent="0.25">
      <c r="A123" s="36" t="s">
        <v>4854</v>
      </c>
      <c r="B123" s="37" t="s">
        <v>1948</v>
      </c>
      <c r="C123" s="36">
        <v>8402307</v>
      </c>
      <c r="D123" s="37" t="s">
        <v>131</v>
      </c>
      <c r="E123" s="36" t="s">
        <v>4864</v>
      </c>
      <c r="F123" s="21" t="str">
        <f>HYPERLINK("https://psearch.kitsapgov.com/webappa/index.html?parcelID=2492726&amp;Theme=Imagery","2492726")</f>
        <v>2492726</v>
      </c>
      <c r="G123" s="37" t="s">
        <v>4865</v>
      </c>
      <c r="H123" s="38">
        <v>44316</v>
      </c>
      <c r="I123" s="39">
        <v>9400000</v>
      </c>
      <c r="J123" s="40">
        <v>5.92</v>
      </c>
      <c r="K123" s="37" t="s">
        <v>515</v>
      </c>
      <c r="L123" s="37" t="s">
        <v>4517</v>
      </c>
      <c r="M123" s="37" t="s">
        <v>1383</v>
      </c>
      <c r="N123" s="37" t="s">
        <v>4857</v>
      </c>
    </row>
    <row r="124" spans="1:14" ht="20.100000000000001" customHeight="1" x14ac:dyDescent="0.25">
      <c r="A124" s="36" t="s">
        <v>4854</v>
      </c>
      <c r="B124" s="37" t="s">
        <v>1948</v>
      </c>
      <c r="C124" s="36">
        <v>8402307</v>
      </c>
      <c r="D124" s="37" t="s">
        <v>131</v>
      </c>
      <c r="E124" s="36" t="s">
        <v>4866</v>
      </c>
      <c r="F124" s="21" t="str">
        <f>HYPERLINK("https://psearch.kitsapgov.com/webappa/index.html?parcelID=2492791&amp;Theme=Imagery","2492791")</f>
        <v>2492791</v>
      </c>
      <c r="G124" s="37" t="s">
        <v>4867</v>
      </c>
      <c r="H124" s="38">
        <v>44316</v>
      </c>
      <c r="I124" s="39">
        <v>9400000</v>
      </c>
      <c r="J124" s="40">
        <v>2.4900000000000002</v>
      </c>
      <c r="K124" s="37" t="s">
        <v>515</v>
      </c>
      <c r="L124" s="37" t="s">
        <v>4517</v>
      </c>
      <c r="M124" s="37" t="s">
        <v>1383</v>
      </c>
      <c r="N124" s="37" t="s">
        <v>4857</v>
      </c>
    </row>
    <row r="125" spans="1:14" ht="20.100000000000001" customHeight="1" x14ac:dyDescent="0.25">
      <c r="A125" s="36" t="s">
        <v>4854</v>
      </c>
      <c r="B125" s="37" t="s">
        <v>24</v>
      </c>
      <c r="C125" s="36">
        <v>8402307</v>
      </c>
      <c r="D125" s="37" t="s">
        <v>131</v>
      </c>
      <c r="E125" s="36" t="s">
        <v>4868</v>
      </c>
      <c r="F125" s="21" t="str">
        <f>HYPERLINK("https://psearch.kitsapgov.com/webappa/index.html?parcelID=2492734&amp;Theme=Imagery","2492734")</f>
        <v>2492734</v>
      </c>
      <c r="G125" s="37" t="s">
        <v>4869</v>
      </c>
      <c r="H125" s="38">
        <v>44316</v>
      </c>
      <c r="I125" s="39">
        <v>9400000</v>
      </c>
      <c r="J125" s="40">
        <v>0.55000000000000004</v>
      </c>
      <c r="K125" s="37" t="s">
        <v>368</v>
      </c>
      <c r="L125" s="37" t="s">
        <v>4517</v>
      </c>
      <c r="M125" s="37" t="s">
        <v>4870</v>
      </c>
      <c r="N125" s="37" t="s">
        <v>4857</v>
      </c>
    </row>
    <row r="126" spans="1:14" ht="20.100000000000001" customHeight="1" x14ac:dyDescent="0.25">
      <c r="A126" s="36" t="s">
        <v>4854</v>
      </c>
      <c r="B126" s="37" t="s">
        <v>1948</v>
      </c>
      <c r="C126" s="36">
        <v>8402307</v>
      </c>
      <c r="D126" s="37" t="s">
        <v>131</v>
      </c>
      <c r="E126" s="36" t="s">
        <v>4871</v>
      </c>
      <c r="F126" s="21" t="str">
        <f>HYPERLINK("https://psearch.kitsapgov.com/webappa/index.html?parcelID=2492783&amp;Theme=Imagery","2492783")</f>
        <v>2492783</v>
      </c>
      <c r="G126" s="37" t="s">
        <v>4872</v>
      </c>
      <c r="H126" s="38">
        <v>44316</v>
      </c>
      <c r="I126" s="39">
        <v>9400000</v>
      </c>
      <c r="J126" s="40">
        <v>3.74</v>
      </c>
      <c r="K126" s="37" t="s">
        <v>515</v>
      </c>
      <c r="L126" s="37" t="s">
        <v>4517</v>
      </c>
      <c r="M126" s="37" t="s">
        <v>4870</v>
      </c>
      <c r="N126" s="37" t="s">
        <v>4857</v>
      </c>
    </row>
    <row r="127" spans="1:14" ht="39.950000000000003" customHeight="1" x14ac:dyDescent="0.25">
      <c r="A127" s="36" t="s">
        <v>4873</v>
      </c>
      <c r="B127" s="37" t="s">
        <v>105</v>
      </c>
      <c r="C127" s="36">
        <v>9402390</v>
      </c>
      <c r="D127" s="37" t="s">
        <v>173</v>
      </c>
      <c r="E127" s="36" t="s">
        <v>4874</v>
      </c>
      <c r="F127" s="21" t="str">
        <f>HYPERLINK("https://psearch.kitsapgov.com/webappa/index.html?parcelID=2049716&amp;Theme=Imagery","2049716")</f>
        <v>2049716</v>
      </c>
      <c r="G127" s="37" t="s">
        <v>4875</v>
      </c>
      <c r="H127" s="38">
        <v>44315</v>
      </c>
      <c r="I127" s="39">
        <v>3196740</v>
      </c>
      <c r="J127" s="40">
        <v>0.28000000000000003</v>
      </c>
      <c r="K127" s="37" t="s">
        <v>912</v>
      </c>
      <c r="L127" s="37" t="s">
        <v>4552</v>
      </c>
      <c r="M127" s="37" t="s">
        <v>4876</v>
      </c>
      <c r="N127" s="37" t="s">
        <v>1447</v>
      </c>
    </row>
    <row r="128" spans="1:14" ht="20.100000000000001" customHeight="1" x14ac:dyDescent="0.25">
      <c r="A128" s="36" t="s">
        <v>4873</v>
      </c>
      <c r="B128" s="37" t="s">
        <v>512</v>
      </c>
      <c r="C128" s="36">
        <v>9402390</v>
      </c>
      <c r="D128" s="37" t="s">
        <v>173</v>
      </c>
      <c r="E128" s="36" t="s">
        <v>4877</v>
      </c>
      <c r="F128" s="21" t="str">
        <f>HYPERLINK("https://psearch.kitsapgov.com/webappa/index.html?parcelID=2049724&amp;Theme=Imagery","2049724")</f>
        <v>2049724</v>
      </c>
      <c r="G128" s="37" t="s">
        <v>4878</v>
      </c>
      <c r="H128" s="38">
        <v>44315</v>
      </c>
      <c r="I128" s="39">
        <v>3196740</v>
      </c>
      <c r="J128" s="40">
        <v>1.69</v>
      </c>
      <c r="K128" s="37" t="s">
        <v>912</v>
      </c>
      <c r="L128" s="37" t="s">
        <v>4517</v>
      </c>
      <c r="M128" s="37" t="s">
        <v>4876</v>
      </c>
      <c r="N128" s="37" t="s">
        <v>1447</v>
      </c>
    </row>
    <row r="129" spans="1:14" ht="39.950000000000003" customHeight="1" x14ac:dyDescent="0.25">
      <c r="A129" s="36" t="s">
        <v>4879</v>
      </c>
      <c r="B129" s="37" t="s">
        <v>850</v>
      </c>
      <c r="C129" s="36">
        <v>7100543</v>
      </c>
      <c r="D129" s="37" t="s">
        <v>4842</v>
      </c>
      <c r="E129" s="36" t="s">
        <v>4880</v>
      </c>
      <c r="F129" s="21" t="str">
        <f>HYPERLINK("https://psearch.kitsapgov.com/webappa/index.html?parcelID=1492123&amp;Theme=Imagery","1492123")</f>
        <v>1492123</v>
      </c>
      <c r="G129" s="37" t="s">
        <v>3019</v>
      </c>
      <c r="H129" s="38">
        <v>44327</v>
      </c>
      <c r="I129" s="39">
        <v>20000000</v>
      </c>
      <c r="J129" s="40">
        <v>0.23</v>
      </c>
      <c r="K129" s="37" t="s">
        <v>377</v>
      </c>
      <c r="L129" s="37" t="s">
        <v>4517</v>
      </c>
      <c r="M129" s="37" t="s">
        <v>4881</v>
      </c>
      <c r="N129" s="37" t="s">
        <v>4882</v>
      </c>
    </row>
    <row r="130" spans="1:14" ht="20.100000000000001" customHeight="1" x14ac:dyDescent="0.25">
      <c r="A130" s="36" t="s">
        <v>4879</v>
      </c>
      <c r="B130" s="37" t="s">
        <v>48</v>
      </c>
      <c r="C130" s="36">
        <v>9100543</v>
      </c>
      <c r="D130" s="37" t="s">
        <v>1628</v>
      </c>
      <c r="E130" s="36" t="s">
        <v>4883</v>
      </c>
      <c r="F130" s="21" t="str">
        <f>HYPERLINK("https://psearch.kitsapgov.com/webappa/index.html?parcelID=1492164&amp;Theme=Imagery","1492164")</f>
        <v>1492164</v>
      </c>
      <c r="G130" s="37" t="s">
        <v>4884</v>
      </c>
      <c r="H130" s="38">
        <v>44327</v>
      </c>
      <c r="I130" s="39">
        <v>20000000</v>
      </c>
      <c r="J130" s="40">
        <v>2.62</v>
      </c>
      <c r="K130" s="37" t="s">
        <v>814</v>
      </c>
      <c r="L130" s="37" t="s">
        <v>4517</v>
      </c>
      <c r="M130" s="37" t="s">
        <v>4885</v>
      </c>
      <c r="N130" s="37" t="s">
        <v>4886</v>
      </c>
    </row>
    <row r="131" spans="1:14" ht="20.100000000000001" customHeight="1" x14ac:dyDescent="0.25">
      <c r="A131" s="36" t="s">
        <v>4879</v>
      </c>
      <c r="B131" s="37" t="s">
        <v>48</v>
      </c>
      <c r="C131" s="36">
        <v>9100542</v>
      </c>
      <c r="D131" s="37" t="s">
        <v>360</v>
      </c>
      <c r="E131" s="36" t="s">
        <v>4887</v>
      </c>
      <c r="F131" s="21" t="str">
        <f>HYPERLINK("https://psearch.kitsapgov.com/webappa/index.html?parcelID=1492834&amp;Theme=Imagery","1492834")</f>
        <v>1492834</v>
      </c>
      <c r="G131" s="37" t="s">
        <v>4888</v>
      </c>
      <c r="H131" s="38">
        <v>44327</v>
      </c>
      <c r="I131" s="39">
        <v>20000000</v>
      </c>
      <c r="J131" s="40">
        <v>1.74</v>
      </c>
      <c r="K131" s="37" t="s">
        <v>814</v>
      </c>
      <c r="L131" s="37" t="s">
        <v>4517</v>
      </c>
      <c r="M131" s="37" t="s">
        <v>4885</v>
      </c>
      <c r="N131" s="37" t="s">
        <v>4886</v>
      </c>
    </row>
    <row r="132" spans="1:14" ht="39.950000000000003" customHeight="1" x14ac:dyDescent="0.25">
      <c r="A132" s="36" t="s">
        <v>4889</v>
      </c>
      <c r="B132" s="37" t="s">
        <v>78</v>
      </c>
      <c r="C132" s="36">
        <v>7100545</v>
      </c>
      <c r="D132" s="37" t="s">
        <v>4890</v>
      </c>
      <c r="E132" s="36" t="s">
        <v>4891</v>
      </c>
      <c r="F132" s="21" t="str">
        <f>HYPERLINK("https://psearch.kitsapgov.com/webappa/index.html?parcelID=2650190&amp;Theme=Imagery","2650190")</f>
        <v>2650190</v>
      </c>
      <c r="G132" s="37" t="s">
        <v>3019</v>
      </c>
      <c r="H132" s="38">
        <v>44327</v>
      </c>
      <c r="I132" s="39">
        <v>9310000</v>
      </c>
      <c r="J132" s="40">
        <v>0.15</v>
      </c>
      <c r="K132" s="37" t="s">
        <v>377</v>
      </c>
      <c r="L132" s="37" t="s">
        <v>4517</v>
      </c>
      <c r="M132" s="37" t="s">
        <v>4892</v>
      </c>
      <c r="N132" s="37" t="s">
        <v>4893</v>
      </c>
    </row>
    <row r="133" spans="1:14" ht="20.100000000000001" customHeight="1" x14ac:dyDescent="0.25">
      <c r="A133" s="36" t="s">
        <v>4889</v>
      </c>
      <c r="B133" s="37" t="s">
        <v>78</v>
      </c>
      <c r="C133" s="36">
        <v>7100545</v>
      </c>
      <c r="D133" s="37" t="s">
        <v>4890</v>
      </c>
      <c r="E133" s="36" t="s">
        <v>4894</v>
      </c>
      <c r="F133" s="21" t="str">
        <f>HYPERLINK("https://psearch.kitsapgov.com/webappa/index.html?parcelID=2650208&amp;Theme=Imagery","2650208")</f>
        <v>2650208</v>
      </c>
      <c r="G133" s="37" t="s">
        <v>3019</v>
      </c>
      <c r="H133" s="38">
        <v>44327</v>
      </c>
      <c r="I133" s="39">
        <v>9310000</v>
      </c>
      <c r="J133" s="40">
        <v>0.15</v>
      </c>
      <c r="K133" s="37" t="s">
        <v>377</v>
      </c>
      <c r="L133" s="37" t="s">
        <v>4517</v>
      </c>
      <c r="M133" s="37" t="s">
        <v>4892</v>
      </c>
      <c r="N133" s="37" t="s">
        <v>4893</v>
      </c>
    </row>
    <row r="134" spans="1:14" ht="20.100000000000001" customHeight="1" x14ac:dyDescent="0.25">
      <c r="A134" s="36" t="s">
        <v>4889</v>
      </c>
      <c r="B134" s="37" t="s">
        <v>78</v>
      </c>
      <c r="C134" s="36">
        <v>7100545</v>
      </c>
      <c r="D134" s="37" t="s">
        <v>4890</v>
      </c>
      <c r="E134" s="36" t="s">
        <v>4895</v>
      </c>
      <c r="F134" s="21" t="str">
        <f>HYPERLINK("https://psearch.kitsapgov.com/webappa/index.html?parcelID=2650216&amp;Theme=Imagery","2650216")</f>
        <v>2650216</v>
      </c>
      <c r="G134" s="37" t="s">
        <v>3019</v>
      </c>
      <c r="H134" s="38">
        <v>44327</v>
      </c>
      <c r="I134" s="39">
        <v>9310000</v>
      </c>
      <c r="J134" s="40">
        <v>0.15</v>
      </c>
      <c r="K134" s="37" t="s">
        <v>377</v>
      </c>
      <c r="L134" s="37" t="s">
        <v>4517</v>
      </c>
      <c r="M134" s="37" t="s">
        <v>4892</v>
      </c>
      <c r="N134" s="37" t="s">
        <v>4893</v>
      </c>
    </row>
    <row r="135" spans="1:14" ht="20.100000000000001" customHeight="1" x14ac:dyDescent="0.25">
      <c r="A135" s="36" t="s">
        <v>4889</v>
      </c>
      <c r="B135" s="37" t="s">
        <v>78</v>
      </c>
      <c r="C135" s="36">
        <v>7100545</v>
      </c>
      <c r="D135" s="37" t="s">
        <v>4890</v>
      </c>
      <c r="E135" s="36" t="s">
        <v>4896</v>
      </c>
      <c r="F135" s="21" t="str">
        <f>HYPERLINK("https://psearch.kitsapgov.com/webappa/index.html?parcelID=2650224&amp;Theme=Imagery","2650224")</f>
        <v>2650224</v>
      </c>
      <c r="G135" s="37" t="s">
        <v>3019</v>
      </c>
      <c r="H135" s="38">
        <v>44327</v>
      </c>
      <c r="I135" s="39">
        <v>9310000</v>
      </c>
      <c r="J135" s="40">
        <v>0.15</v>
      </c>
      <c r="K135" s="37" t="s">
        <v>377</v>
      </c>
      <c r="L135" s="37" t="s">
        <v>4517</v>
      </c>
      <c r="M135" s="37" t="s">
        <v>4892</v>
      </c>
      <c r="N135" s="37" t="s">
        <v>4893</v>
      </c>
    </row>
    <row r="136" spans="1:14" ht="20.100000000000001" customHeight="1" x14ac:dyDescent="0.25">
      <c r="A136" s="36" t="s">
        <v>4889</v>
      </c>
      <c r="B136" s="37" t="s">
        <v>78</v>
      </c>
      <c r="C136" s="36">
        <v>7100545</v>
      </c>
      <c r="D136" s="37" t="s">
        <v>4890</v>
      </c>
      <c r="E136" s="36" t="s">
        <v>4897</v>
      </c>
      <c r="F136" s="21" t="str">
        <f>HYPERLINK("https://psearch.kitsapgov.com/webappa/index.html?parcelID=2650232&amp;Theme=Imagery","2650232")</f>
        <v>2650232</v>
      </c>
      <c r="G136" s="37" t="s">
        <v>3019</v>
      </c>
      <c r="H136" s="38">
        <v>44327</v>
      </c>
      <c r="I136" s="39">
        <v>9310000</v>
      </c>
      <c r="J136" s="40">
        <v>0.16</v>
      </c>
      <c r="K136" s="37" t="s">
        <v>377</v>
      </c>
      <c r="L136" s="37" t="s">
        <v>4517</v>
      </c>
      <c r="M136" s="37" t="s">
        <v>4892</v>
      </c>
      <c r="N136" s="37" t="s">
        <v>4893</v>
      </c>
    </row>
    <row r="137" spans="1:14" ht="20.100000000000001" customHeight="1" x14ac:dyDescent="0.25">
      <c r="A137" s="36" t="s">
        <v>4889</v>
      </c>
      <c r="B137" s="37" t="s">
        <v>78</v>
      </c>
      <c r="C137" s="36">
        <v>7100545</v>
      </c>
      <c r="D137" s="37" t="s">
        <v>4890</v>
      </c>
      <c r="E137" s="36" t="s">
        <v>4898</v>
      </c>
      <c r="F137" s="21" t="str">
        <f>HYPERLINK("https://psearch.kitsapgov.com/webappa/index.html?parcelID=2650240&amp;Theme=Imagery","2650240")</f>
        <v>2650240</v>
      </c>
      <c r="G137" s="37" t="s">
        <v>3019</v>
      </c>
      <c r="H137" s="38">
        <v>44327</v>
      </c>
      <c r="I137" s="39">
        <v>9310000</v>
      </c>
      <c r="J137" s="40">
        <v>0.21</v>
      </c>
      <c r="K137" s="37" t="s">
        <v>377</v>
      </c>
      <c r="L137" s="37" t="s">
        <v>4517</v>
      </c>
      <c r="M137" s="37" t="s">
        <v>4892</v>
      </c>
      <c r="N137" s="37" t="s">
        <v>4893</v>
      </c>
    </row>
    <row r="138" spans="1:14" ht="20.100000000000001" customHeight="1" x14ac:dyDescent="0.25">
      <c r="A138" s="36" t="s">
        <v>4889</v>
      </c>
      <c r="B138" s="37" t="s">
        <v>78</v>
      </c>
      <c r="C138" s="36">
        <v>7100545</v>
      </c>
      <c r="D138" s="37" t="s">
        <v>4890</v>
      </c>
      <c r="E138" s="36" t="s">
        <v>4899</v>
      </c>
      <c r="F138" s="21" t="str">
        <f>HYPERLINK("https://psearch.kitsapgov.com/webappa/index.html?parcelID=2650257&amp;Theme=Imagery","2650257")</f>
        <v>2650257</v>
      </c>
      <c r="G138" s="37" t="s">
        <v>3019</v>
      </c>
      <c r="H138" s="38">
        <v>44327</v>
      </c>
      <c r="I138" s="39">
        <v>9310000</v>
      </c>
      <c r="J138" s="40">
        <v>0.19</v>
      </c>
      <c r="K138" s="37" t="s">
        <v>377</v>
      </c>
      <c r="L138" s="37" t="s">
        <v>4517</v>
      </c>
      <c r="M138" s="37" t="s">
        <v>4892</v>
      </c>
      <c r="N138" s="37" t="s">
        <v>4893</v>
      </c>
    </row>
    <row r="139" spans="1:14" ht="20.100000000000001" customHeight="1" x14ac:dyDescent="0.25">
      <c r="A139" s="36" t="s">
        <v>4889</v>
      </c>
      <c r="B139" s="37" t="s">
        <v>78</v>
      </c>
      <c r="C139" s="36">
        <v>7100545</v>
      </c>
      <c r="D139" s="37" t="s">
        <v>4890</v>
      </c>
      <c r="E139" s="36" t="s">
        <v>4900</v>
      </c>
      <c r="F139" s="21" t="str">
        <f>HYPERLINK("https://psearch.kitsapgov.com/webappa/index.html?parcelID=2650265&amp;Theme=Imagery","2650265")</f>
        <v>2650265</v>
      </c>
      <c r="G139" s="37" t="s">
        <v>3019</v>
      </c>
      <c r="H139" s="38">
        <v>44327</v>
      </c>
      <c r="I139" s="39">
        <v>9310000</v>
      </c>
      <c r="J139" s="40">
        <v>0.15</v>
      </c>
      <c r="K139" s="37" t="s">
        <v>377</v>
      </c>
      <c r="L139" s="37" t="s">
        <v>4517</v>
      </c>
      <c r="M139" s="37" t="s">
        <v>4892</v>
      </c>
      <c r="N139" s="37" t="s">
        <v>4893</v>
      </c>
    </row>
    <row r="140" spans="1:14" ht="20.100000000000001" customHeight="1" x14ac:dyDescent="0.25">
      <c r="A140" s="36" t="s">
        <v>4889</v>
      </c>
      <c r="B140" s="37" t="s">
        <v>78</v>
      </c>
      <c r="C140" s="36">
        <v>7100545</v>
      </c>
      <c r="D140" s="37" t="s">
        <v>4890</v>
      </c>
      <c r="E140" s="36" t="s">
        <v>4901</v>
      </c>
      <c r="F140" s="21" t="str">
        <f>HYPERLINK("https://psearch.kitsapgov.com/webappa/index.html?parcelID=2650273&amp;Theme=Imagery","2650273")</f>
        <v>2650273</v>
      </c>
      <c r="G140" s="37" t="s">
        <v>3019</v>
      </c>
      <c r="H140" s="38">
        <v>44327</v>
      </c>
      <c r="I140" s="39">
        <v>9310000</v>
      </c>
      <c r="J140" s="40">
        <v>0.14000000000000001</v>
      </c>
      <c r="K140" s="37" t="s">
        <v>377</v>
      </c>
      <c r="L140" s="37" t="s">
        <v>4517</v>
      </c>
      <c r="M140" s="37" t="s">
        <v>4892</v>
      </c>
      <c r="N140" s="37" t="s">
        <v>4893</v>
      </c>
    </row>
    <row r="141" spans="1:14" ht="20.100000000000001" customHeight="1" x14ac:dyDescent="0.25">
      <c r="A141" s="36" t="s">
        <v>4889</v>
      </c>
      <c r="B141" s="37" t="s">
        <v>78</v>
      </c>
      <c r="C141" s="36">
        <v>7100545</v>
      </c>
      <c r="D141" s="37" t="s">
        <v>4890</v>
      </c>
      <c r="E141" s="36" t="s">
        <v>4902</v>
      </c>
      <c r="F141" s="21" t="str">
        <f>HYPERLINK("https://psearch.kitsapgov.com/webappa/index.html?parcelID=2650281&amp;Theme=Imagery","2650281")</f>
        <v>2650281</v>
      </c>
      <c r="G141" s="37" t="s">
        <v>3019</v>
      </c>
      <c r="H141" s="38">
        <v>44327</v>
      </c>
      <c r="I141" s="39">
        <v>9310000</v>
      </c>
      <c r="J141" s="40">
        <v>0.15</v>
      </c>
      <c r="K141" s="37" t="s">
        <v>377</v>
      </c>
      <c r="L141" s="37" t="s">
        <v>4517</v>
      </c>
      <c r="M141" s="37" t="s">
        <v>4892</v>
      </c>
      <c r="N141" s="37" t="s">
        <v>4893</v>
      </c>
    </row>
    <row r="142" spans="1:14" ht="20.100000000000001" customHeight="1" x14ac:dyDescent="0.25">
      <c r="A142" s="36" t="s">
        <v>4889</v>
      </c>
      <c r="B142" s="37" t="s">
        <v>78</v>
      </c>
      <c r="C142" s="36">
        <v>7100545</v>
      </c>
      <c r="D142" s="37" t="s">
        <v>4890</v>
      </c>
      <c r="E142" s="36" t="s">
        <v>4903</v>
      </c>
      <c r="F142" s="21" t="str">
        <f>HYPERLINK("https://psearch.kitsapgov.com/webappa/index.html?parcelID=2650299&amp;Theme=Imagery","2650299")</f>
        <v>2650299</v>
      </c>
      <c r="G142" s="37" t="s">
        <v>3019</v>
      </c>
      <c r="H142" s="38">
        <v>44327</v>
      </c>
      <c r="I142" s="39">
        <v>9310000</v>
      </c>
      <c r="J142" s="40">
        <v>0.15</v>
      </c>
      <c r="K142" s="37" t="s">
        <v>377</v>
      </c>
      <c r="L142" s="37" t="s">
        <v>4517</v>
      </c>
      <c r="M142" s="37" t="s">
        <v>4892</v>
      </c>
      <c r="N142" s="37" t="s">
        <v>4893</v>
      </c>
    </row>
    <row r="143" spans="1:14" ht="20.100000000000001" customHeight="1" x14ac:dyDescent="0.25">
      <c r="A143" s="36" t="s">
        <v>4889</v>
      </c>
      <c r="B143" s="37" t="s">
        <v>78</v>
      </c>
      <c r="C143" s="36">
        <v>7100545</v>
      </c>
      <c r="D143" s="37" t="s">
        <v>4890</v>
      </c>
      <c r="E143" s="36" t="s">
        <v>4904</v>
      </c>
      <c r="F143" s="21" t="str">
        <f>HYPERLINK("https://psearch.kitsapgov.com/webappa/index.html?parcelID=2650307&amp;Theme=Imagery","2650307")</f>
        <v>2650307</v>
      </c>
      <c r="G143" s="37" t="s">
        <v>3019</v>
      </c>
      <c r="H143" s="38">
        <v>44327</v>
      </c>
      <c r="I143" s="39">
        <v>9310000</v>
      </c>
      <c r="J143" s="40">
        <v>0.15</v>
      </c>
      <c r="K143" s="37" t="s">
        <v>377</v>
      </c>
      <c r="L143" s="37" t="s">
        <v>4517</v>
      </c>
      <c r="M143" s="37" t="s">
        <v>4892</v>
      </c>
      <c r="N143" s="37" t="s">
        <v>4893</v>
      </c>
    </row>
    <row r="144" spans="1:14" ht="20.100000000000001" customHeight="1" x14ac:dyDescent="0.25">
      <c r="A144" s="36" t="s">
        <v>4889</v>
      </c>
      <c r="B144" s="37" t="s">
        <v>78</v>
      </c>
      <c r="C144" s="36">
        <v>7100545</v>
      </c>
      <c r="D144" s="37" t="s">
        <v>4890</v>
      </c>
      <c r="E144" s="36" t="s">
        <v>4905</v>
      </c>
      <c r="F144" s="21" t="str">
        <f>HYPERLINK("https://psearch.kitsapgov.com/webappa/index.html?parcelID=2650315&amp;Theme=Imagery","2650315")</f>
        <v>2650315</v>
      </c>
      <c r="G144" s="37" t="s">
        <v>3019</v>
      </c>
      <c r="H144" s="38">
        <v>44327</v>
      </c>
      <c r="I144" s="39">
        <v>9310000</v>
      </c>
      <c r="J144" s="40">
        <v>0.16</v>
      </c>
      <c r="K144" s="37" t="s">
        <v>377</v>
      </c>
      <c r="L144" s="37" t="s">
        <v>4517</v>
      </c>
      <c r="M144" s="37" t="s">
        <v>4892</v>
      </c>
      <c r="N144" s="37" t="s">
        <v>4893</v>
      </c>
    </row>
    <row r="145" spans="1:14" ht="20.100000000000001" customHeight="1" x14ac:dyDescent="0.25">
      <c r="A145" s="36" t="s">
        <v>4889</v>
      </c>
      <c r="B145" s="37" t="s">
        <v>78</v>
      </c>
      <c r="C145" s="36">
        <v>7100545</v>
      </c>
      <c r="D145" s="37" t="s">
        <v>4890</v>
      </c>
      <c r="E145" s="36" t="s">
        <v>4906</v>
      </c>
      <c r="F145" s="21" t="str">
        <f>HYPERLINK("https://psearch.kitsapgov.com/webappa/index.html?parcelID=2650323&amp;Theme=Imagery","2650323")</f>
        <v>2650323</v>
      </c>
      <c r="G145" s="37" t="s">
        <v>3019</v>
      </c>
      <c r="H145" s="38">
        <v>44327</v>
      </c>
      <c r="I145" s="39">
        <v>9310000</v>
      </c>
      <c r="J145" s="40">
        <v>0.16</v>
      </c>
      <c r="K145" s="37" t="s">
        <v>377</v>
      </c>
      <c r="L145" s="37" t="s">
        <v>4517</v>
      </c>
      <c r="M145" s="37" t="s">
        <v>4892</v>
      </c>
      <c r="N145" s="37" t="s">
        <v>4893</v>
      </c>
    </row>
    <row r="146" spans="1:14" ht="20.100000000000001" customHeight="1" x14ac:dyDescent="0.25">
      <c r="A146" s="36" t="s">
        <v>4889</v>
      </c>
      <c r="B146" s="37" t="s">
        <v>78</v>
      </c>
      <c r="C146" s="36">
        <v>7100545</v>
      </c>
      <c r="D146" s="37" t="s">
        <v>4890</v>
      </c>
      <c r="E146" s="36" t="s">
        <v>4907</v>
      </c>
      <c r="F146" s="21" t="str">
        <f>HYPERLINK("https://psearch.kitsapgov.com/webappa/index.html?parcelID=2650331&amp;Theme=Imagery","2650331")</f>
        <v>2650331</v>
      </c>
      <c r="G146" s="37" t="s">
        <v>3019</v>
      </c>
      <c r="H146" s="38">
        <v>44327</v>
      </c>
      <c r="I146" s="39">
        <v>9310000</v>
      </c>
      <c r="J146" s="40">
        <v>0.16</v>
      </c>
      <c r="K146" s="37" t="s">
        <v>377</v>
      </c>
      <c r="L146" s="37" t="s">
        <v>4517</v>
      </c>
      <c r="M146" s="37" t="s">
        <v>4892</v>
      </c>
      <c r="N146" s="37" t="s">
        <v>4893</v>
      </c>
    </row>
    <row r="147" spans="1:14" ht="20.100000000000001" customHeight="1" x14ac:dyDescent="0.25">
      <c r="A147" s="36" t="s">
        <v>4889</v>
      </c>
      <c r="B147" s="37" t="s">
        <v>78</v>
      </c>
      <c r="C147" s="36">
        <v>7100545</v>
      </c>
      <c r="D147" s="37" t="s">
        <v>4890</v>
      </c>
      <c r="E147" s="36" t="s">
        <v>4908</v>
      </c>
      <c r="F147" s="21" t="str">
        <f>HYPERLINK("https://psearch.kitsapgov.com/webappa/index.html?parcelID=2650349&amp;Theme=Imagery","2650349")</f>
        <v>2650349</v>
      </c>
      <c r="G147" s="37" t="s">
        <v>3019</v>
      </c>
      <c r="H147" s="38">
        <v>44327</v>
      </c>
      <c r="I147" s="39">
        <v>9310000</v>
      </c>
      <c r="J147" s="40">
        <v>0.15</v>
      </c>
      <c r="K147" s="37" t="s">
        <v>377</v>
      </c>
      <c r="L147" s="37" t="s">
        <v>4517</v>
      </c>
      <c r="M147" s="37" t="s">
        <v>4892</v>
      </c>
      <c r="N147" s="37" t="s">
        <v>4893</v>
      </c>
    </row>
    <row r="148" spans="1:14" ht="20.100000000000001" customHeight="1" x14ac:dyDescent="0.25">
      <c r="A148" s="36" t="s">
        <v>4889</v>
      </c>
      <c r="B148" s="37" t="s">
        <v>78</v>
      </c>
      <c r="C148" s="36">
        <v>7100545</v>
      </c>
      <c r="D148" s="37" t="s">
        <v>4890</v>
      </c>
      <c r="E148" s="36" t="s">
        <v>4909</v>
      </c>
      <c r="F148" s="21" t="str">
        <f>HYPERLINK("https://psearch.kitsapgov.com/webappa/index.html?parcelID=2650356&amp;Theme=Imagery","2650356")</f>
        <v>2650356</v>
      </c>
      <c r="G148" s="37" t="s">
        <v>3019</v>
      </c>
      <c r="H148" s="38">
        <v>44327</v>
      </c>
      <c r="I148" s="39">
        <v>9310000</v>
      </c>
      <c r="J148" s="40">
        <v>0.15</v>
      </c>
      <c r="K148" s="37" t="s">
        <v>377</v>
      </c>
      <c r="L148" s="37" t="s">
        <v>4517</v>
      </c>
      <c r="M148" s="37" t="s">
        <v>4892</v>
      </c>
      <c r="N148" s="37" t="s">
        <v>4893</v>
      </c>
    </row>
    <row r="149" spans="1:14" ht="20.100000000000001" customHeight="1" x14ac:dyDescent="0.25">
      <c r="A149" s="36" t="s">
        <v>4889</v>
      </c>
      <c r="B149" s="37" t="s">
        <v>78</v>
      </c>
      <c r="C149" s="36">
        <v>7100545</v>
      </c>
      <c r="D149" s="37" t="s">
        <v>4890</v>
      </c>
      <c r="E149" s="36" t="s">
        <v>4910</v>
      </c>
      <c r="F149" s="21" t="str">
        <f>HYPERLINK("https://psearch.kitsapgov.com/webappa/index.html?parcelID=2650364&amp;Theme=Imagery","2650364")</f>
        <v>2650364</v>
      </c>
      <c r="G149" s="37" t="s">
        <v>3019</v>
      </c>
      <c r="H149" s="38">
        <v>44327</v>
      </c>
      <c r="I149" s="39">
        <v>9310000</v>
      </c>
      <c r="J149" s="40">
        <v>0.14000000000000001</v>
      </c>
      <c r="K149" s="37" t="s">
        <v>377</v>
      </c>
      <c r="L149" s="37" t="s">
        <v>4517</v>
      </c>
      <c r="M149" s="37" t="s">
        <v>4892</v>
      </c>
      <c r="N149" s="37" t="s">
        <v>4893</v>
      </c>
    </row>
    <row r="150" spans="1:14" ht="20.100000000000001" customHeight="1" x14ac:dyDescent="0.25">
      <c r="A150" s="36" t="s">
        <v>4889</v>
      </c>
      <c r="B150" s="37" t="s">
        <v>78</v>
      </c>
      <c r="C150" s="36">
        <v>7100545</v>
      </c>
      <c r="D150" s="37" t="s">
        <v>4890</v>
      </c>
      <c r="E150" s="36" t="s">
        <v>4911</v>
      </c>
      <c r="F150" s="21" t="str">
        <f>HYPERLINK("https://psearch.kitsapgov.com/webappa/index.html?parcelID=2650372&amp;Theme=Imagery","2650372")</f>
        <v>2650372</v>
      </c>
      <c r="G150" s="37" t="s">
        <v>3019</v>
      </c>
      <c r="H150" s="38">
        <v>44327</v>
      </c>
      <c r="I150" s="39">
        <v>9310000</v>
      </c>
      <c r="J150" s="40">
        <v>0.14000000000000001</v>
      </c>
      <c r="K150" s="37" t="s">
        <v>377</v>
      </c>
      <c r="L150" s="37" t="s">
        <v>4517</v>
      </c>
      <c r="M150" s="37" t="s">
        <v>4892</v>
      </c>
      <c r="N150" s="37" t="s">
        <v>4893</v>
      </c>
    </row>
    <row r="151" spans="1:14" ht="20.100000000000001" customHeight="1" x14ac:dyDescent="0.25">
      <c r="A151" s="36" t="s">
        <v>4889</v>
      </c>
      <c r="B151" s="37" t="s">
        <v>78</v>
      </c>
      <c r="C151" s="36">
        <v>7100545</v>
      </c>
      <c r="D151" s="37" t="s">
        <v>4890</v>
      </c>
      <c r="E151" s="36" t="s">
        <v>4912</v>
      </c>
      <c r="F151" s="21" t="str">
        <f>HYPERLINK("https://psearch.kitsapgov.com/webappa/index.html?parcelID=2650380&amp;Theme=Imagery","2650380")</f>
        <v>2650380</v>
      </c>
      <c r="G151" s="37" t="s">
        <v>3019</v>
      </c>
      <c r="H151" s="38">
        <v>44327</v>
      </c>
      <c r="I151" s="39">
        <v>9310000</v>
      </c>
      <c r="J151" s="40">
        <v>0.14000000000000001</v>
      </c>
      <c r="K151" s="37" t="s">
        <v>377</v>
      </c>
      <c r="L151" s="37" t="s">
        <v>4517</v>
      </c>
      <c r="M151" s="37" t="s">
        <v>4892</v>
      </c>
      <c r="N151" s="37" t="s">
        <v>4893</v>
      </c>
    </row>
    <row r="152" spans="1:14" ht="20.100000000000001" customHeight="1" x14ac:dyDescent="0.25">
      <c r="A152" s="36" t="s">
        <v>4889</v>
      </c>
      <c r="B152" s="37" t="s">
        <v>78</v>
      </c>
      <c r="C152" s="36">
        <v>7100545</v>
      </c>
      <c r="D152" s="37" t="s">
        <v>4890</v>
      </c>
      <c r="E152" s="36" t="s">
        <v>4913</v>
      </c>
      <c r="F152" s="21" t="str">
        <f>HYPERLINK("https://psearch.kitsapgov.com/webappa/index.html?parcelID=2650398&amp;Theme=Imagery","2650398")</f>
        <v>2650398</v>
      </c>
      <c r="G152" s="37" t="s">
        <v>3019</v>
      </c>
      <c r="H152" s="38">
        <v>44327</v>
      </c>
      <c r="I152" s="39">
        <v>9310000</v>
      </c>
      <c r="J152" s="40">
        <v>0.14000000000000001</v>
      </c>
      <c r="K152" s="37" t="s">
        <v>377</v>
      </c>
      <c r="L152" s="37" t="s">
        <v>4517</v>
      </c>
      <c r="M152" s="37" t="s">
        <v>4892</v>
      </c>
      <c r="N152" s="37" t="s">
        <v>4893</v>
      </c>
    </row>
    <row r="153" spans="1:14" ht="20.100000000000001" customHeight="1" x14ac:dyDescent="0.25">
      <c r="A153" s="36" t="s">
        <v>4889</v>
      </c>
      <c r="B153" s="37" t="s">
        <v>78</v>
      </c>
      <c r="C153" s="36">
        <v>7100545</v>
      </c>
      <c r="D153" s="37" t="s">
        <v>4890</v>
      </c>
      <c r="E153" s="36" t="s">
        <v>4914</v>
      </c>
      <c r="F153" s="21" t="str">
        <f>HYPERLINK("https://psearch.kitsapgov.com/webappa/index.html?parcelID=2650406&amp;Theme=Imagery","2650406")</f>
        <v>2650406</v>
      </c>
      <c r="G153" s="37" t="s">
        <v>3019</v>
      </c>
      <c r="H153" s="38">
        <v>44327</v>
      </c>
      <c r="I153" s="39">
        <v>9310000</v>
      </c>
      <c r="J153" s="40">
        <v>0.14000000000000001</v>
      </c>
      <c r="K153" s="37" t="s">
        <v>377</v>
      </c>
      <c r="L153" s="37" t="s">
        <v>4517</v>
      </c>
      <c r="M153" s="37" t="s">
        <v>4892</v>
      </c>
      <c r="N153" s="37" t="s">
        <v>4893</v>
      </c>
    </row>
    <row r="154" spans="1:14" ht="20.100000000000001" customHeight="1" x14ac:dyDescent="0.25">
      <c r="A154" s="36" t="s">
        <v>4889</v>
      </c>
      <c r="B154" s="37" t="s">
        <v>78</v>
      </c>
      <c r="C154" s="36">
        <v>7100545</v>
      </c>
      <c r="D154" s="37" t="s">
        <v>4890</v>
      </c>
      <c r="E154" s="36" t="s">
        <v>4915</v>
      </c>
      <c r="F154" s="21" t="str">
        <f>HYPERLINK("https://psearch.kitsapgov.com/webappa/index.html?parcelID=2650414&amp;Theme=Imagery","2650414")</f>
        <v>2650414</v>
      </c>
      <c r="G154" s="37" t="s">
        <v>3019</v>
      </c>
      <c r="H154" s="38">
        <v>44327</v>
      </c>
      <c r="I154" s="39">
        <v>9310000</v>
      </c>
      <c r="J154" s="40">
        <v>0.14000000000000001</v>
      </c>
      <c r="K154" s="37" t="s">
        <v>377</v>
      </c>
      <c r="L154" s="37" t="s">
        <v>4517</v>
      </c>
      <c r="M154" s="37" t="s">
        <v>4892</v>
      </c>
      <c r="N154" s="37" t="s">
        <v>4893</v>
      </c>
    </row>
    <row r="155" spans="1:14" ht="20.100000000000001" customHeight="1" x14ac:dyDescent="0.25">
      <c r="A155" s="36" t="s">
        <v>4889</v>
      </c>
      <c r="B155" s="37" t="s">
        <v>78</v>
      </c>
      <c r="C155" s="36">
        <v>7100545</v>
      </c>
      <c r="D155" s="37" t="s">
        <v>4890</v>
      </c>
      <c r="E155" s="36" t="s">
        <v>4916</v>
      </c>
      <c r="F155" s="21" t="str">
        <f>HYPERLINK("https://psearch.kitsapgov.com/webappa/index.html?parcelID=2650422&amp;Theme=Imagery","2650422")</f>
        <v>2650422</v>
      </c>
      <c r="G155" s="37" t="s">
        <v>3019</v>
      </c>
      <c r="H155" s="38">
        <v>44327</v>
      </c>
      <c r="I155" s="39">
        <v>9310000</v>
      </c>
      <c r="J155" s="40">
        <v>0.14000000000000001</v>
      </c>
      <c r="K155" s="37" t="s">
        <v>377</v>
      </c>
      <c r="L155" s="37" t="s">
        <v>4517</v>
      </c>
      <c r="M155" s="37" t="s">
        <v>4892</v>
      </c>
      <c r="N155" s="37" t="s">
        <v>4893</v>
      </c>
    </row>
    <row r="156" spans="1:14" ht="20.100000000000001" customHeight="1" x14ac:dyDescent="0.25">
      <c r="A156" s="36" t="s">
        <v>4889</v>
      </c>
      <c r="B156" s="37" t="s">
        <v>78</v>
      </c>
      <c r="C156" s="36">
        <v>7100545</v>
      </c>
      <c r="D156" s="37" t="s">
        <v>4890</v>
      </c>
      <c r="E156" s="36" t="s">
        <v>4917</v>
      </c>
      <c r="F156" s="21" t="str">
        <f>HYPERLINK("https://psearch.kitsapgov.com/webappa/index.html?parcelID=2650430&amp;Theme=Imagery","2650430")</f>
        <v>2650430</v>
      </c>
      <c r="G156" s="37" t="s">
        <v>3019</v>
      </c>
      <c r="H156" s="38">
        <v>44327</v>
      </c>
      <c r="I156" s="39">
        <v>9310000</v>
      </c>
      <c r="J156" s="40">
        <v>0.14000000000000001</v>
      </c>
      <c r="K156" s="37" t="s">
        <v>377</v>
      </c>
      <c r="L156" s="37" t="s">
        <v>4517</v>
      </c>
      <c r="M156" s="37" t="s">
        <v>4892</v>
      </c>
      <c r="N156" s="37" t="s">
        <v>4893</v>
      </c>
    </row>
    <row r="157" spans="1:14" ht="20.100000000000001" customHeight="1" x14ac:dyDescent="0.25">
      <c r="A157" s="36" t="s">
        <v>4889</v>
      </c>
      <c r="B157" s="37" t="s">
        <v>78</v>
      </c>
      <c r="C157" s="36">
        <v>7100545</v>
      </c>
      <c r="D157" s="37" t="s">
        <v>4890</v>
      </c>
      <c r="E157" s="36" t="s">
        <v>4918</v>
      </c>
      <c r="F157" s="21" t="str">
        <f>HYPERLINK("https://psearch.kitsapgov.com/webappa/index.html?parcelID=2650448&amp;Theme=Imagery","2650448")</f>
        <v>2650448</v>
      </c>
      <c r="G157" s="37" t="s">
        <v>3019</v>
      </c>
      <c r="H157" s="38">
        <v>44327</v>
      </c>
      <c r="I157" s="39">
        <v>9310000</v>
      </c>
      <c r="J157" s="40">
        <v>0.14000000000000001</v>
      </c>
      <c r="K157" s="37" t="s">
        <v>377</v>
      </c>
      <c r="L157" s="37" t="s">
        <v>4517</v>
      </c>
      <c r="M157" s="37" t="s">
        <v>4892</v>
      </c>
      <c r="N157" s="37" t="s">
        <v>4893</v>
      </c>
    </row>
    <row r="158" spans="1:14" ht="20.100000000000001" customHeight="1" x14ac:dyDescent="0.25">
      <c r="A158" s="36" t="s">
        <v>4889</v>
      </c>
      <c r="B158" s="37" t="s">
        <v>78</v>
      </c>
      <c r="C158" s="36">
        <v>7100545</v>
      </c>
      <c r="D158" s="37" t="s">
        <v>4890</v>
      </c>
      <c r="E158" s="36" t="s">
        <v>4919</v>
      </c>
      <c r="F158" s="21" t="str">
        <f>HYPERLINK("https://psearch.kitsapgov.com/webappa/index.html?parcelID=2650455&amp;Theme=Imagery","2650455")</f>
        <v>2650455</v>
      </c>
      <c r="G158" s="37" t="s">
        <v>3019</v>
      </c>
      <c r="H158" s="38">
        <v>44327</v>
      </c>
      <c r="I158" s="39">
        <v>9310000</v>
      </c>
      <c r="J158" s="40">
        <v>0.15</v>
      </c>
      <c r="K158" s="37" t="s">
        <v>377</v>
      </c>
      <c r="L158" s="37" t="s">
        <v>4517</v>
      </c>
      <c r="M158" s="37" t="s">
        <v>4892</v>
      </c>
      <c r="N158" s="37" t="s">
        <v>4893</v>
      </c>
    </row>
    <row r="159" spans="1:14" ht="20.100000000000001" customHeight="1" x14ac:dyDescent="0.25">
      <c r="A159" s="36" t="s">
        <v>4889</v>
      </c>
      <c r="B159" s="37" t="s">
        <v>78</v>
      </c>
      <c r="C159" s="36">
        <v>7100545</v>
      </c>
      <c r="D159" s="37" t="s">
        <v>4890</v>
      </c>
      <c r="E159" s="36" t="s">
        <v>4920</v>
      </c>
      <c r="F159" s="21" t="str">
        <f>HYPERLINK("https://psearch.kitsapgov.com/webappa/index.html?parcelID=2650463&amp;Theme=Imagery","2650463")</f>
        <v>2650463</v>
      </c>
      <c r="G159" s="37" t="s">
        <v>3019</v>
      </c>
      <c r="H159" s="38">
        <v>44327</v>
      </c>
      <c r="I159" s="39">
        <v>9310000</v>
      </c>
      <c r="J159" s="40">
        <v>0.15</v>
      </c>
      <c r="K159" s="37" t="s">
        <v>377</v>
      </c>
      <c r="L159" s="37" t="s">
        <v>4517</v>
      </c>
      <c r="M159" s="37" t="s">
        <v>4892</v>
      </c>
      <c r="N159" s="37" t="s">
        <v>4893</v>
      </c>
    </row>
    <row r="160" spans="1:14" ht="20.100000000000001" customHeight="1" x14ac:dyDescent="0.25">
      <c r="A160" s="36" t="s">
        <v>4889</v>
      </c>
      <c r="B160" s="37" t="s">
        <v>78</v>
      </c>
      <c r="C160" s="36">
        <v>7100545</v>
      </c>
      <c r="D160" s="37" t="s">
        <v>4890</v>
      </c>
      <c r="E160" s="36" t="s">
        <v>4921</v>
      </c>
      <c r="F160" s="21" t="str">
        <f>HYPERLINK("https://psearch.kitsapgov.com/webappa/index.html?parcelID=2650471&amp;Theme=Imagery","2650471")</f>
        <v>2650471</v>
      </c>
      <c r="G160" s="37" t="s">
        <v>3019</v>
      </c>
      <c r="H160" s="38">
        <v>44327</v>
      </c>
      <c r="I160" s="39">
        <v>9310000</v>
      </c>
      <c r="J160" s="40">
        <v>0.15</v>
      </c>
      <c r="K160" s="37" t="s">
        <v>377</v>
      </c>
      <c r="L160" s="37" t="s">
        <v>4517</v>
      </c>
      <c r="M160" s="37" t="s">
        <v>4892</v>
      </c>
      <c r="N160" s="37" t="s">
        <v>4893</v>
      </c>
    </row>
    <row r="161" spans="1:14" ht="20.100000000000001" customHeight="1" x14ac:dyDescent="0.25">
      <c r="A161" s="36" t="s">
        <v>4889</v>
      </c>
      <c r="B161" s="37" t="s">
        <v>78</v>
      </c>
      <c r="C161" s="36">
        <v>7100545</v>
      </c>
      <c r="D161" s="37" t="s">
        <v>4890</v>
      </c>
      <c r="E161" s="36" t="s">
        <v>4922</v>
      </c>
      <c r="F161" s="21" t="str">
        <f>HYPERLINK("https://psearch.kitsapgov.com/webappa/index.html?parcelID=2650489&amp;Theme=Imagery","2650489")</f>
        <v>2650489</v>
      </c>
      <c r="G161" s="37" t="s">
        <v>3019</v>
      </c>
      <c r="H161" s="38">
        <v>44327</v>
      </c>
      <c r="I161" s="39">
        <v>9310000</v>
      </c>
      <c r="J161" s="40">
        <v>0.15</v>
      </c>
      <c r="K161" s="37" t="s">
        <v>377</v>
      </c>
      <c r="L161" s="37" t="s">
        <v>4517</v>
      </c>
      <c r="M161" s="37" t="s">
        <v>4892</v>
      </c>
      <c r="N161" s="37" t="s">
        <v>4893</v>
      </c>
    </row>
    <row r="162" spans="1:14" ht="20.100000000000001" customHeight="1" x14ac:dyDescent="0.25">
      <c r="A162" s="36" t="s">
        <v>4889</v>
      </c>
      <c r="B162" s="37" t="s">
        <v>78</v>
      </c>
      <c r="C162" s="36">
        <v>7100545</v>
      </c>
      <c r="D162" s="37" t="s">
        <v>4890</v>
      </c>
      <c r="E162" s="36" t="s">
        <v>4923</v>
      </c>
      <c r="F162" s="21" t="str">
        <f>HYPERLINK("https://psearch.kitsapgov.com/webappa/index.html?parcelID=2650497&amp;Theme=Imagery","2650497")</f>
        <v>2650497</v>
      </c>
      <c r="G162" s="37" t="s">
        <v>3019</v>
      </c>
      <c r="H162" s="38">
        <v>44327</v>
      </c>
      <c r="I162" s="39">
        <v>9310000</v>
      </c>
      <c r="J162" s="40">
        <v>0.15</v>
      </c>
      <c r="K162" s="37" t="s">
        <v>377</v>
      </c>
      <c r="L162" s="37" t="s">
        <v>4517</v>
      </c>
      <c r="M162" s="37" t="s">
        <v>4892</v>
      </c>
      <c r="N162" s="37" t="s">
        <v>4893</v>
      </c>
    </row>
    <row r="163" spans="1:14" ht="20.100000000000001" customHeight="1" x14ac:dyDescent="0.25">
      <c r="A163" s="36" t="s">
        <v>4889</v>
      </c>
      <c r="B163" s="37" t="s">
        <v>78</v>
      </c>
      <c r="C163" s="36">
        <v>7100545</v>
      </c>
      <c r="D163" s="37" t="s">
        <v>4890</v>
      </c>
      <c r="E163" s="36" t="s">
        <v>4924</v>
      </c>
      <c r="F163" s="21" t="str">
        <f>HYPERLINK("https://psearch.kitsapgov.com/webappa/index.html?parcelID=2650505&amp;Theme=Imagery","2650505")</f>
        <v>2650505</v>
      </c>
      <c r="G163" s="37" t="s">
        <v>3019</v>
      </c>
      <c r="H163" s="38">
        <v>44327</v>
      </c>
      <c r="I163" s="39">
        <v>9310000</v>
      </c>
      <c r="J163" s="40">
        <v>0.15</v>
      </c>
      <c r="K163" s="37" t="s">
        <v>377</v>
      </c>
      <c r="L163" s="37" t="s">
        <v>4517</v>
      </c>
      <c r="M163" s="37" t="s">
        <v>4892</v>
      </c>
      <c r="N163" s="37" t="s">
        <v>4893</v>
      </c>
    </row>
    <row r="164" spans="1:14" ht="20.100000000000001" customHeight="1" x14ac:dyDescent="0.25">
      <c r="A164" s="36" t="s">
        <v>4889</v>
      </c>
      <c r="B164" s="37" t="s">
        <v>78</v>
      </c>
      <c r="C164" s="36">
        <v>7100545</v>
      </c>
      <c r="D164" s="37" t="s">
        <v>4890</v>
      </c>
      <c r="E164" s="36" t="s">
        <v>4925</v>
      </c>
      <c r="F164" s="21" t="str">
        <f>HYPERLINK("https://psearch.kitsapgov.com/webappa/index.html?parcelID=2650513&amp;Theme=Imagery","2650513")</f>
        <v>2650513</v>
      </c>
      <c r="G164" s="37" t="s">
        <v>3019</v>
      </c>
      <c r="H164" s="38">
        <v>44327</v>
      </c>
      <c r="I164" s="39">
        <v>9310000</v>
      </c>
      <c r="J164" s="40">
        <v>0.17</v>
      </c>
      <c r="K164" s="37" t="s">
        <v>377</v>
      </c>
      <c r="L164" s="37" t="s">
        <v>4517</v>
      </c>
      <c r="M164" s="37" t="s">
        <v>4892</v>
      </c>
      <c r="N164" s="37" t="s">
        <v>4893</v>
      </c>
    </row>
    <row r="165" spans="1:14" ht="20.100000000000001" customHeight="1" x14ac:dyDescent="0.25">
      <c r="A165" s="36" t="s">
        <v>4889</v>
      </c>
      <c r="B165" s="37" t="s">
        <v>78</v>
      </c>
      <c r="C165" s="36">
        <v>7100545</v>
      </c>
      <c r="D165" s="37" t="s">
        <v>4890</v>
      </c>
      <c r="E165" s="36" t="s">
        <v>4926</v>
      </c>
      <c r="F165" s="21" t="str">
        <f>HYPERLINK("https://psearch.kitsapgov.com/webappa/index.html?parcelID=2650521&amp;Theme=Imagery","2650521")</f>
        <v>2650521</v>
      </c>
      <c r="G165" s="37" t="s">
        <v>3019</v>
      </c>
      <c r="H165" s="38">
        <v>44327</v>
      </c>
      <c r="I165" s="39">
        <v>9310000</v>
      </c>
      <c r="J165" s="40">
        <v>0.14000000000000001</v>
      </c>
      <c r="K165" s="37" t="s">
        <v>377</v>
      </c>
      <c r="L165" s="37" t="s">
        <v>4517</v>
      </c>
      <c r="M165" s="37" t="s">
        <v>4892</v>
      </c>
      <c r="N165" s="37" t="s">
        <v>4893</v>
      </c>
    </row>
    <row r="166" spans="1:14" ht="20.100000000000001" customHeight="1" x14ac:dyDescent="0.25">
      <c r="A166" s="36" t="s">
        <v>4889</v>
      </c>
      <c r="B166" s="37" t="s">
        <v>78</v>
      </c>
      <c r="C166" s="36">
        <v>7100545</v>
      </c>
      <c r="D166" s="37" t="s">
        <v>4890</v>
      </c>
      <c r="E166" s="36" t="s">
        <v>4927</v>
      </c>
      <c r="F166" s="21" t="str">
        <f>HYPERLINK("https://psearch.kitsapgov.com/webappa/index.html?parcelID=2650539&amp;Theme=Imagery","2650539")</f>
        <v>2650539</v>
      </c>
      <c r="G166" s="37" t="s">
        <v>3019</v>
      </c>
      <c r="H166" s="38">
        <v>44327</v>
      </c>
      <c r="I166" s="39">
        <v>9310000</v>
      </c>
      <c r="J166" s="40">
        <v>0.12</v>
      </c>
      <c r="K166" s="37" t="s">
        <v>377</v>
      </c>
      <c r="L166" s="37" t="s">
        <v>4517</v>
      </c>
      <c r="M166" s="37" t="s">
        <v>4892</v>
      </c>
      <c r="N166" s="37" t="s">
        <v>4893</v>
      </c>
    </row>
    <row r="167" spans="1:14" ht="20.100000000000001" customHeight="1" x14ac:dyDescent="0.25">
      <c r="A167" s="36" t="s">
        <v>4889</v>
      </c>
      <c r="B167" s="37" t="s">
        <v>78</v>
      </c>
      <c r="C167" s="36">
        <v>7100545</v>
      </c>
      <c r="D167" s="37" t="s">
        <v>4890</v>
      </c>
      <c r="E167" s="36" t="s">
        <v>4928</v>
      </c>
      <c r="F167" s="21" t="str">
        <f>HYPERLINK("https://psearch.kitsapgov.com/webappa/index.html?parcelID=2650547&amp;Theme=Imagery","2650547")</f>
        <v>2650547</v>
      </c>
      <c r="G167" s="37" t="s">
        <v>3019</v>
      </c>
      <c r="H167" s="38">
        <v>44327</v>
      </c>
      <c r="I167" s="39">
        <v>9310000</v>
      </c>
      <c r="J167" s="40">
        <v>0.12</v>
      </c>
      <c r="K167" s="37" t="s">
        <v>377</v>
      </c>
      <c r="L167" s="37" t="s">
        <v>4517</v>
      </c>
      <c r="M167" s="37" t="s">
        <v>4892</v>
      </c>
      <c r="N167" s="37" t="s">
        <v>4893</v>
      </c>
    </row>
    <row r="168" spans="1:14" ht="20.100000000000001" customHeight="1" x14ac:dyDescent="0.25">
      <c r="A168" s="36" t="s">
        <v>4889</v>
      </c>
      <c r="B168" s="37" t="s">
        <v>78</v>
      </c>
      <c r="C168" s="36">
        <v>7100545</v>
      </c>
      <c r="D168" s="37" t="s">
        <v>4890</v>
      </c>
      <c r="E168" s="36" t="s">
        <v>4929</v>
      </c>
      <c r="F168" s="21" t="str">
        <f>HYPERLINK("https://psearch.kitsapgov.com/webappa/index.html?parcelID=2650554&amp;Theme=Imagery","2650554")</f>
        <v>2650554</v>
      </c>
      <c r="G168" s="37" t="s">
        <v>3019</v>
      </c>
      <c r="H168" s="38">
        <v>44327</v>
      </c>
      <c r="I168" s="39">
        <v>9310000</v>
      </c>
      <c r="J168" s="40">
        <v>0.12</v>
      </c>
      <c r="K168" s="37" t="s">
        <v>377</v>
      </c>
      <c r="L168" s="37" t="s">
        <v>4517</v>
      </c>
      <c r="M168" s="37" t="s">
        <v>4892</v>
      </c>
      <c r="N168" s="37" t="s">
        <v>4893</v>
      </c>
    </row>
    <row r="169" spans="1:14" ht="20.100000000000001" customHeight="1" x14ac:dyDescent="0.25">
      <c r="A169" s="36" t="s">
        <v>4889</v>
      </c>
      <c r="B169" s="37" t="s">
        <v>78</v>
      </c>
      <c r="C169" s="36">
        <v>7100545</v>
      </c>
      <c r="D169" s="37" t="s">
        <v>4890</v>
      </c>
      <c r="E169" s="36" t="s">
        <v>4930</v>
      </c>
      <c r="F169" s="21" t="str">
        <f>HYPERLINK("https://psearch.kitsapgov.com/webappa/index.html?parcelID=2650562&amp;Theme=Imagery","2650562")</f>
        <v>2650562</v>
      </c>
      <c r="G169" s="37" t="s">
        <v>3019</v>
      </c>
      <c r="H169" s="38">
        <v>44327</v>
      </c>
      <c r="I169" s="39">
        <v>9310000</v>
      </c>
      <c r="J169" s="40">
        <v>0.12</v>
      </c>
      <c r="K169" s="37" t="s">
        <v>377</v>
      </c>
      <c r="L169" s="37" t="s">
        <v>4517</v>
      </c>
      <c r="M169" s="37" t="s">
        <v>4892</v>
      </c>
      <c r="N169" s="37" t="s">
        <v>4893</v>
      </c>
    </row>
    <row r="170" spans="1:14" ht="20.100000000000001" customHeight="1" x14ac:dyDescent="0.25">
      <c r="A170" s="36" t="s">
        <v>4889</v>
      </c>
      <c r="B170" s="37" t="s">
        <v>78</v>
      </c>
      <c r="C170" s="36">
        <v>7100545</v>
      </c>
      <c r="D170" s="37" t="s">
        <v>4890</v>
      </c>
      <c r="E170" s="36" t="s">
        <v>4931</v>
      </c>
      <c r="F170" s="21" t="str">
        <f>HYPERLINK("https://psearch.kitsapgov.com/webappa/index.html?parcelID=2650570&amp;Theme=Imagery","2650570")</f>
        <v>2650570</v>
      </c>
      <c r="G170" s="37" t="s">
        <v>3019</v>
      </c>
      <c r="H170" s="38">
        <v>44327</v>
      </c>
      <c r="I170" s="39">
        <v>9310000</v>
      </c>
      <c r="J170" s="40">
        <v>0.12</v>
      </c>
      <c r="K170" s="37" t="s">
        <v>377</v>
      </c>
      <c r="L170" s="37" t="s">
        <v>4517</v>
      </c>
      <c r="M170" s="37" t="s">
        <v>4892</v>
      </c>
      <c r="N170" s="37" t="s">
        <v>4893</v>
      </c>
    </row>
    <row r="171" spans="1:14" ht="20.100000000000001" customHeight="1" x14ac:dyDescent="0.25">
      <c r="A171" s="36" t="s">
        <v>4889</v>
      </c>
      <c r="B171" s="37" t="s">
        <v>78</v>
      </c>
      <c r="C171" s="36">
        <v>7100545</v>
      </c>
      <c r="D171" s="37" t="s">
        <v>4890</v>
      </c>
      <c r="E171" s="36" t="s">
        <v>4932</v>
      </c>
      <c r="F171" s="21" t="str">
        <f>HYPERLINK("https://psearch.kitsapgov.com/webappa/index.html?parcelID=2650588&amp;Theme=Imagery","2650588")</f>
        <v>2650588</v>
      </c>
      <c r="G171" s="37" t="s">
        <v>3019</v>
      </c>
      <c r="H171" s="38">
        <v>44327</v>
      </c>
      <c r="I171" s="39">
        <v>9310000</v>
      </c>
      <c r="J171" s="40">
        <v>0.12</v>
      </c>
      <c r="K171" s="37" t="s">
        <v>377</v>
      </c>
      <c r="L171" s="37" t="s">
        <v>4517</v>
      </c>
      <c r="M171" s="37" t="s">
        <v>4892</v>
      </c>
      <c r="N171" s="37" t="s">
        <v>4893</v>
      </c>
    </row>
    <row r="172" spans="1:14" ht="20.100000000000001" customHeight="1" x14ac:dyDescent="0.25">
      <c r="A172" s="36" t="s">
        <v>4889</v>
      </c>
      <c r="B172" s="37" t="s">
        <v>78</v>
      </c>
      <c r="C172" s="36">
        <v>7100545</v>
      </c>
      <c r="D172" s="37" t="s">
        <v>4890</v>
      </c>
      <c r="E172" s="36" t="s">
        <v>4933</v>
      </c>
      <c r="F172" s="21" t="str">
        <f>HYPERLINK("https://psearch.kitsapgov.com/webappa/index.html?parcelID=2650596&amp;Theme=Imagery","2650596")</f>
        <v>2650596</v>
      </c>
      <c r="G172" s="37" t="s">
        <v>3019</v>
      </c>
      <c r="H172" s="38">
        <v>44327</v>
      </c>
      <c r="I172" s="39">
        <v>9310000</v>
      </c>
      <c r="J172" s="40">
        <v>0.12</v>
      </c>
      <c r="K172" s="37" t="s">
        <v>377</v>
      </c>
      <c r="L172" s="37" t="s">
        <v>4517</v>
      </c>
      <c r="M172" s="37" t="s">
        <v>4892</v>
      </c>
      <c r="N172" s="37" t="s">
        <v>4893</v>
      </c>
    </row>
    <row r="173" spans="1:14" ht="20.100000000000001" customHeight="1" x14ac:dyDescent="0.25">
      <c r="A173" s="36" t="s">
        <v>4889</v>
      </c>
      <c r="B173" s="37" t="s">
        <v>78</v>
      </c>
      <c r="C173" s="36">
        <v>7100545</v>
      </c>
      <c r="D173" s="37" t="s">
        <v>4890</v>
      </c>
      <c r="E173" s="36" t="s">
        <v>4934</v>
      </c>
      <c r="F173" s="21" t="str">
        <f>HYPERLINK("https://psearch.kitsapgov.com/webappa/index.html?parcelID=2650604&amp;Theme=Imagery","2650604")</f>
        <v>2650604</v>
      </c>
      <c r="G173" s="37" t="s">
        <v>3019</v>
      </c>
      <c r="H173" s="38">
        <v>44327</v>
      </c>
      <c r="I173" s="39">
        <v>9310000</v>
      </c>
      <c r="J173" s="40">
        <v>0.14000000000000001</v>
      </c>
      <c r="K173" s="37" t="s">
        <v>377</v>
      </c>
      <c r="L173" s="37" t="s">
        <v>4517</v>
      </c>
      <c r="M173" s="37" t="s">
        <v>4892</v>
      </c>
      <c r="N173" s="37" t="s">
        <v>4893</v>
      </c>
    </row>
    <row r="174" spans="1:14" ht="20.100000000000001" customHeight="1" x14ac:dyDescent="0.25">
      <c r="A174" s="36" t="s">
        <v>4889</v>
      </c>
      <c r="B174" s="37" t="s">
        <v>78</v>
      </c>
      <c r="C174" s="36">
        <v>7100545</v>
      </c>
      <c r="D174" s="37" t="s">
        <v>4890</v>
      </c>
      <c r="E174" s="36" t="s">
        <v>4935</v>
      </c>
      <c r="F174" s="21" t="str">
        <f>HYPERLINK("https://psearch.kitsapgov.com/webappa/index.html?parcelID=2650612&amp;Theme=Imagery","2650612")</f>
        <v>2650612</v>
      </c>
      <c r="G174" s="37" t="s">
        <v>3019</v>
      </c>
      <c r="H174" s="38">
        <v>44327</v>
      </c>
      <c r="I174" s="39">
        <v>9310000</v>
      </c>
      <c r="J174" s="40">
        <v>0.22</v>
      </c>
      <c r="K174" s="37" t="s">
        <v>377</v>
      </c>
      <c r="L174" s="37" t="s">
        <v>4517</v>
      </c>
      <c r="M174" s="37" t="s">
        <v>4892</v>
      </c>
      <c r="N174" s="37" t="s">
        <v>4893</v>
      </c>
    </row>
    <row r="175" spans="1:14" ht="20.100000000000001" customHeight="1" x14ac:dyDescent="0.25">
      <c r="A175" s="36" t="s">
        <v>4889</v>
      </c>
      <c r="B175" s="37" t="s">
        <v>78</v>
      </c>
      <c r="C175" s="36">
        <v>7100545</v>
      </c>
      <c r="D175" s="37" t="s">
        <v>4890</v>
      </c>
      <c r="E175" s="36" t="s">
        <v>4936</v>
      </c>
      <c r="F175" s="21" t="str">
        <f>HYPERLINK("https://psearch.kitsapgov.com/webappa/index.html?parcelID=2650620&amp;Theme=Imagery","2650620")</f>
        <v>2650620</v>
      </c>
      <c r="G175" s="37" t="s">
        <v>3019</v>
      </c>
      <c r="H175" s="38">
        <v>44327</v>
      </c>
      <c r="I175" s="39">
        <v>9310000</v>
      </c>
      <c r="J175" s="40">
        <v>0.16</v>
      </c>
      <c r="K175" s="37" t="s">
        <v>377</v>
      </c>
      <c r="L175" s="37" t="s">
        <v>4517</v>
      </c>
      <c r="M175" s="37" t="s">
        <v>4892</v>
      </c>
      <c r="N175" s="37" t="s">
        <v>4893</v>
      </c>
    </row>
    <row r="176" spans="1:14" ht="20.100000000000001" customHeight="1" x14ac:dyDescent="0.25">
      <c r="A176" s="36" t="s">
        <v>4889</v>
      </c>
      <c r="B176" s="37" t="s">
        <v>78</v>
      </c>
      <c r="C176" s="36">
        <v>7100545</v>
      </c>
      <c r="D176" s="37" t="s">
        <v>4890</v>
      </c>
      <c r="E176" s="36" t="s">
        <v>4937</v>
      </c>
      <c r="F176" s="21" t="str">
        <f>HYPERLINK("https://psearch.kitsapgov.com/webappa/index.html?parcelID=2650638&amp;Theme=Imagery","2650638")</f>
        <v>2650638</v>
      </c>
      <c r="G176" s="37" t="s">
        <v>3019</v>
      </c>
      <c r="H176" s="38">
        <v>44327</v>
      </c>
      <c r="I176" s="39">
        <v>9310000</v>
      </c>
      <c r="J176" s="40">
        <v>0.14000000000000001</v>
      </c>
      <c r="K176" s="37" t="s">
        <v>377</v>
      </c>
      <c r="L176" s="37" t="s">
        <v>4517</v>
      </c>
      <c r="M176" s="37" t="s">
        <v>4892</v>
      </c>
      <c r="N176" s="37" t="s">
        <v>4893</v>
      </c>
    </row>
    <row r="177" spans="1:14" ht="20.100000000000001" customHeight="1" x14ac:dyDescent="0.25">
      <c r="A177" s="36" t="s">
        <v>4889</v>
      </c>
      <c r="B177" s="37" t="s">
        <v>78</v>
      </c>
      <c r="C177" s="36">
        <v>7100545</v>
      </c>
      <c r="D177" s="37" t="s">
        <v>4890</v>
      </c>
      <c r="E177" s="36" t="s">
        <v>4938</v>
      </c>
      <c r="F177" s="21" t="str">
        <f>HYPERLINK("https://psearch.kitsapgov.com/webappa/index.html?parcelID=2650646&amp;Theme=Imagery","2650646")</f>
        <v>2650646</v>
      </c>
      <c r="G177" s="37" t="s">
        <v>3019</v>
      </c>
      <c r="H177" s="38">
        <v>44327</v>
      </c>
      <c r="I177" s="39">
        <v>9310000</v>
      </c>
      <c r="J177" s="40">
        <v>0.14000000000000001</v>
      </c>
      <c r="K177" s="37" t="s">
        <v>377</v>
      </c>
      <c r="L177" s="37" t="s">
        <v>4517</v>
      </c>
      <c r="M177" s="37" t="s">
        <v>4892</v>
      </c>
      <c r="N177" s="37" t="s">
        <v>4893</v>
      </c>
    </row>
    <row r="178" spans="1:14" ht="20.100000000000001" customHeight="1" x14ac:dyDescent="0.25">
      <c r="A178" s="36" t="s">
        <v>4889</v>
      </c>
      <c r="B178" s="37" t="s">
        <v>78</v>
      </c>
      <c r="C178" s="36">
        <v>7100545</v>
      </c>
      <c r="D178" s="37" t="s">
        <v>4890</v>
      </c>
      <c r="E178" s="36" t="s">
        <v>4939</v>
      </c>
      <c r="F178" s="21" t="str">
        <f>HYPERLINK("https://psearch.kitsapgov.com/webappa/index.html?parcelID=2650653&amp;Theme=Imagery","2650653")</f>
        <v>2650653</v>
      </c>
      <c r="G178" s="37" t="s">
        <v>3019</v>
      </c>
      <c r="H178" s="38">
        <v>44327</v>
      </c>
      <c r="I178" s="39">
        <v>9310000</v>
      </c>
      <c r="J178" s="40">
        <v>0.16</v>
      </c>
      <c r="K178" s="37" t="s">
        <v>377</v>
      </c>
      <c r="L178" s="37" t="s">
        <v>4517</v>
      </c>
      <c r="M178" s="37" t="s">
        <v>4892</v>
      </c>
      <c r="N178" s="37" t="s">
        <v>4893</v>
      </c>
    </row>
    <row r="179" spans="1:14" ht="20.100000000000001" customHeight="1" x14ac:dyDescent="0.25">
      <c r="A179" s="36" t="s">
        <v>4889</v>
      </c>
      <c r="B179" s="37" t="s">
        <v>78</v>
      </c>
      <c r="C179" s="36">
        <v>7100545</v>
      </c>
      <c r="D179" s="37" t="s">
        <v>4890</v>
      </c>
      <c r="E179" s="36" t="s">
        <v>4940</v>
      </c>
      <c r="F179" s="21" t="str">
        <f>HYPERLINK("https://psearch.kitsapgov.com/webappa/index.html?parcelID=2650661&amp;Theme=Imagery","2650661")</f>
        <v>2650661</v>
      </c>
      <c r="G179" s="37" t="s">
        <v>3019</v>
      </c>
      <c r="H179" s="38">
        <v>44327</v>
      </c>
      <c r="I179" s="39">
        <v>9310000</v>
      </c>
      <c r="J179" s="40">
        <v>0.17</v>
      </c>
      <c r="K179" s="37" t="s">
        <v>377</v>
      </c>
      <c r="L179" s="37" t="s">
        <v>4517</v>
      </c>
      <c r="M179" s="37" t="s">
        <v>4892</v>
      </c>
      <c r="N179" s="37" t="s">
        <v>4893</v>
      </c>
    </row>
    <row r="180" spans="1:14" ht="20.100000000000001" customHeight="1" x14ac:dyDescent="0.25">
      <c r="A180" s="36" t="s">
        <v>4889</v>
      </c>
      <c r="B180" s="37" t="s">
        <v>78</v>
      </c>
      <c r="C180" s="36">
        <v>7100545</v>
      </c>
      <c r="D180" s="37" t="s">
        <v>4890</v>
      </c>
      <c r="E180" s="36" t="s">
        <v>4941</v>
      </c>
      <c r="F180" s="21" t="str">
        <f>HYPERLINK("https://psearch.kitsapgov.com/webappa/index.html?parcelID=2650679&amp;Theme=Imagery","2650679")</f>
        <v>2650679</v>
      </c>
      <c r="G180" s="37" t="s">
        <v>3019</v>
      </c>
      <c r="H180" s="38">
        <v>44327</v>
      </c>
      <c r="I180" s="39">
        <v>9310000</v>
      </c>
      <c r="J180" s="40">
        <v>0.22</v>
      </c>
      <c r="K180" s="37" t="s">
        <v>377</v>
      </c>
      <c r="L180" s="37" t="s">
        <v>4517</v>
      </c>
      <c r="M180" s="37" t="s">
        <v>4892</v>
      </c>
      <c r="N180" s="37" t="s">
        <v>4893</v>
      </c>
    </row>
    <row r="181" spans="1:14" ht="20.100000000000001" customHeight="1" x14ac:dyDescent="0.25">
      <c r="A181" s="36" t="s">
        <v>4889</v>
      </c>
      <c r="B181" s="37" t="s">
        <v>78</v>
      </c>
      <c r="C181" s="36">
        <v>7100545</v>
      </c>
      <c r="D181" s="37" t="s">
        <v>4890</v>
      </c>
      <c r="E181" s="36" t="s">
        <v>4942</v>
      </c>
      <c r="F181" s="21" t="str">
        <f>HYPERLINK("https://psearch.kitsapgov.com/webappa/index.html?parcelID=2650687&amp;Theme=Imagery","2650687")</f>
        <v>2650687</v>
      </c>
      <c r="G181" s="37" t="s">
        <v>3019</v>
      </c>
      <c r="H181" s="38">
        <v>44327</v>
      </c>
      <c r="I181" s="39">
        <v>9310000</v>
      </c>
      <c r="J181" s="40">
        <v>0.17</v>
      </c>
      <c r="K181" s="37" t="s">
        <v>377</v>
      </c>
      <c r="L181" s="37" t="s">
        <v>4517</v>
      </c>
      <c r="M181" s="37" t="s">
        <v>4892</v>
      </c>
      <c r="N181" s="37" t="s">
        <v>4893</v>
      </c>
    </row>
    <row r="182" spans="1:14" ht="20.100000000000001" customHeight="1" x14ac:dyDescent="0.25">
      <c r="A182" s="36" t="s">
        <v>4889</v>
      </c>
      <c r="B182" s="37" t="s">
        <v>78</v>
      </c>
      <c r="C182" s="36">
        <v>7100545</v>
      </c>
      <c r="D182" s="37" t="s">
        <v>4890</v>
      </c>
      <c r="E182" s="36" t="s">
        <v>4943</v>
      </c>
      <c r="F182" s="21" t="str">
        <f>HYPERLINK("https://psearch.kitsapgov.com/webappa/index.html?parcelID=2650695&amp;Theme=Imagery","2650695")</f>
        <v>2650695</v>
      </c>
      <c r="G182" s="37" t="s">
        <v>3019</v>
      </c>
      <c r="H182" s="38">
        <v>44327</v>
      </c>
      <c r="I182" s="39">
        <v>9310000</v>
      </c>
      <c r="J182" s="40">
        <v>0.16</v>
      </c>
      <c r="K182" s="37" t="s">
        <v>377</v>
      </c>
      <c r="L182" s="37" t="s">
        <v>4517</v>
      </c>
      <c r="M182" s="37" t="s">
        <v>4892</v>
      </c>
      <c r="N182" s="37" t="s">
        <v>4893</v>
      </c>
    </row>
    <row r="183" spans="1:14" ht="20.100000000000001" customHeight="1" x14ac:dyDescent="0.25">
      <c r="A183" s="36" t="s">
        <v>4889</v>
      </c>
      <c r="B183" s="37" t="s">
        <v>78</v>
      </c>
      <c r="C183" s="36">
        <v>7100545</v>
      </c>
      <c r="D183" s="37" t="s">
        <v>4890</v>
      </c>
      <c r="E183" s="36" t="s">
        <v>4944</v>
      </c>
      <c r="F183" s="21" t="str">
        <f>HYPERLINK("https://psearch.kitsapgov.com/webappa/index.html?parcelID=2650703&amp;Theme=Imagery","2650703")</f>
        <v>2650703</v>
      </c>
      <c r="G183" s="37" t="s">
        <v>3019</v>
      </c>
      <c r="H183" s="38">
        <v>44327</v>
      </c>
      <c r="I183" s="39">
        <v>9310000</v>
      </c>
      <c r="J183" s="40">
        <v>0.15</v>
      </c>
      <c r="K183" s="37" t="s">
        <v>377</v>
      </c>
      <c r="L183" s="37" t="s">
        <v>4517</v>
      </c>
      <c r="M183" s="37" t="s">
        <v>4892</v>
      </c>
      <c r="N183" s="37" t="s">
        <v>4893</v>
      </c>
    </row>
    <row r="184" spans="1:14" ht="20.100000000000001" customHeight="1" x14ac:dyDescent="0.25">
      <c r="A184" s="36" t="s">
        <v>4889</v>
      </c>
      <c r="B184" s="37" t="s">
        <v>78</v>
      </c>
      <c r="C184" s="36">
        <v>7100545</v>
      </c>
      <c r="D184" s="37" t="s">
        <v>4890</v>
      </c>
      <c r="E184" s="36" t="s">
        <v>4945</v>
      </c>
      <c r="F184" s="21" t="str">
        <f>HYPERLINK("https://psearch.kitsapgov.com/webappa/index.html?parcelID=2650711&amp;Theme=Imagery","2650711")</f>
        <v>2650711</v>
      </c>
      <c r="G184" s="37" t="s">
        <v>3019</v>
      </c>
      <c r="H184" s="38">
        <v>44327</v>
      </c>
      <c r="I184" s="39">
        <v>9310000</v>
      </c>
      <c r="J184" s="40">
        <v>0.14000000000000001</v>
      </c>
      <c r="K184" s="37" t="s">
        <v>377</v>
      </c>
      <c r="L184" s="37" t="s">
        <v>4517</v>
      </c>
      <c r="M184" s="37" t="s">
        <v>4892</v>
      </c>
      <c r="N184" s="37" t="s">
        <v>4893</v>
      </c>
    </row>
    <row r="185" spans="1:14" ht="20.100000000000001" customHeight="1" x14ac:dyDescent="0.25">
      <c r="A185" s="36" t="s">
        <v>4889</v>
      </c>
      <c r="B185" s="37" t="s">
        <v>78</v>
      </c>
      <c r="C185" s="36">
        <v>7100545</v>
      </c>
      <c r="D185" s="37" t="s">
        <v>4890</v>
      </c>
      <c r="E185" s="36" t="s">
        <v>4946</v>
      </c>
      <c r="F185" s="21" t="str">
        <f>HYPERLINK("https://psearch.kitsapgov.com/webappa/index.html?parcelID=2650729&amp;Theme=Imagery","2650729")</f>
        <v>2650729</v>
      </c>
      <c r="G185" s="37" t="s">
        <v>3019</v>
      </c>
      <c r="H185" s="38">
        <v>44327</v>
      </c>
      <c r="I185" s="39">
        <v>9310000</v>
      </c>
      <c r="J185" s="40">
        <v>0.14000000000000001</v>
      </c>
      <c r="K185" s="37" t="s">
        <v>377</v>
      </c>
      <c r="L185" s="37" t="s">
        <v>4517</v>
      </c>
      <c r="M185" s="37" t="s">
        <v>4892</v>
      </c>
      <c r="N185" s="37" t="s">
        <v>4893</v>
      </c>
    </row>
    <row r="186" spans="1:14" ht="20.100000000000001" customHeight="1" x14ac:dyDescent="0.25">
      <c r="A186" s="36" t="s">
        <v>4889</v>
      </c>
      <c r="B186" s="37" t="s">
        <v>78</v>
      </c>
      <c r="C186" s="36">
        <v>7100545</v>
      </c>
      <c r="D186" s="37" t="s">
        <v>4890</v>
      </c>
      <c r="E186" s="36" t="s">
        <v>4947</v>
      </c>
      <c r="F186" s="21" t="str">
        <f>HYPERLINK("https://psearch.kitsapgov.com/webappa/index.html?parcelID=2650737&amp;Theme=Imagery","2650737")</f>
        <v>2650737</v>
      </c>
      <c r="G186" s="37" t="s">
        <v>3019</v>
      </c>
      <c r="H186" s="38">
        <v>44327</v>
      </c>
      <c r="I186" s="39">
        <v>9310000</v>
      </c>
      <c r="J186" s="40">
        <v>0.14000000000000001</v>
      </c>
      <c r="K186" s="37" t="s">
        <v>377</v>
      </c>
      <c r="L186" s="37" t="s">
        <v>4517</v>
      </c>
      <c r="M186" s="37" t="s">
        <v>4892</v>
      </c>
      <c r="N186" s="37" t="s">
        <v>4893</v>
      </c>
    </row>
    <row r="187" spans="1:14" ht="20.100000000000001" customHeight="1" x14ac:dyDescent="0.25">
      <c r="A187" s="36" t="s">
        <v>4889</v>
      </c>
      <c r="B187" s="37" t="s">
        <v>78</v>
      </c>
      <c r="C187" s="36">
        <v>7100545</v>
      </c>
      <c r="D187" s="37" t="s">
        <v>4890</v>
      </c>
      <c r="E187" s="36" t="s">
        <v>4948</v>
      </c>
      <c r="F187" s="21" t="str">
        <f>HYPERLINK("https://psearch.kitsapgov.com/webappa/index.html?parcelID=2650745&amp;Theme=Imagery","2650745")</f>
        <v>2650745</v>
      </c>
      <c r="G187" s="37" t="s">
        <v>3019</v>
      </c>
      <c r="H187" s="38">
        <v>44327</v>
      </c>
      <c r="I187" s="39">
        <v>9310000</v>
      </c>
      <c r="J187" s="40">
        <v>0.14000000000000001</v>
      </c>
      <c r="K187" s="37" t="s">
        <v>377</v>
      </c>
      <c r="L187" s="37" t="s">
        <v>4517</v>
      </c>
      <c r="M187" s="37" t="s">
        <v>4892</v>
      </c>
      <c r="N187" s="37" t="s">
        <v>4893</v>
      </c>
    </row>
    <row r="188" spans="1:14" ht="20.100000000000001" customHeight="1" x14ac:dyDescent="0.25">
      <c r="A188" s="36" t="s">
        <v>4889</v>
      </c>
      <c r="B188" s="37" t="s">
        <v>78</v>
      </c>
      <c r="C188" s="36">
        <v>7100545</v>
      </c>
      <c r="D188" s="37" t="s">
        <v>4890</v>
      </c>
      <c r="E188" s="36" t="s">
        <v>4949</v>
      </c>
      <c r="F188" s="21" t="str">
        <f>HYPERLINK("https://psearch.kitsapgov.com/webappa/index.html?parcelID=2650752&amp;Theme=Imagery","2650752")</f>
        <v>2650752</v>
      </c>
      <c r="G188" s="37" t="s">
        <v>3019</v>
      </c>
      <c r="H188" s="38">
        <v>44327</v>
      </c>
      <c r="I188" s="39">
        <v>9310000</v>
      </c>
      <c r="J188" s="40">
        <v>0.14000000000000001</v>
      </c>
      <c r="K188" s="37" t="s">
        <v>377</v>
      </c>
      <c r="L188" s="37" t="s">
        <v>4517</v>
      </c>
      <c r="M188" s="37" t="s">
        <v>4892</v>
      </c>
      <c r="N188" s="37" t="s">
        <v>4893</v>
      </c>
    </row>
    <row r="189" spans="1:14" ht="20.100000000000001" customHeight="1" x14ac:dyDescent="0.25">
      <c r="A189" s="36" t="s">
        <v>4889</v>
      </c>
      <c r="B189" s="37" t="s">
        <v>78</v>
      </c>
      <c r="C189" s="36">
        <v>7100545</v>
      </c>
      <c r="D189" s="37" t="s">
        <v>4890</v>
      </c>
      <c r="E189" s="36" t="s">
        <v>4950</v>
      </c>
      <c r="F189" s="21" t="str">
        <f>HYPERLINK("https://psearch.kitsapgov.com/webappa/index.html?parcelID=2650760&amp;Theme=Imagery","2650760")</f>
        <v>2650760</v>
      </c>
      <c r="G189" s="37" t="s">
        <v>3019</v>
      </c>
      <c r="H189" s="38">
        <v>44327</v>
      </c>
      <c r="I189" s="39">
        <v>9310000</v>
      </c>
      <c r="J189" s="40">
        <v>0.14000000000000001</v>
      </c>
      <c r="K189" s="37" t="s">
        <v>377</v>
      </c>
      <c r="L189" s="37" t="s">
        <v>4517</v>
      </c>
      <c r="M189" s="37" t="s">
        <v>4892</v>
      </c>
      <c r="N189" s="37" t="s">
        <v>4893</v>
      </c>
    </row>
    <row r="190" spans="1:14" ht="20.100000000000001" customHeight="1" x14ac:dyDescent="0.25">
      <c r="A190" s="36" t="s">
        <v>4889</v>
      </c>
      <c r="B190" s="37" t="s">
        <v>78</v>
      </c>
      <c r="C190" s="36">
        <v>7100545</v>
      </c>
      <c r="D190" s="37" t="s">
        <v>4890</v>
      </c>
      <c r="E190" s="36" t="s">
        <v>4951</v>
      </c>
      <c r="F190" s="21" t="str">
        <f>HYPERLINK("https://psearch.kitsapgov.com/webappa/index.html?parcelID=2650778&amp;Theme=Imagery","2650778")</f>
        <v>2650778</v>
      </c>
      <c r="G190" s="37" t="s">
        <v>3019</v>
      </c>
      <c r="H190" s="38">
        <v>44327</v>
      </c>
      <c r="I190" s="39">
        <v>9310000</v>
      </c>
      <c r="J190" s="40">
        <v>0.18</v>
      </c>
      <c r="K190" s="37" t="s">
        <v>377</v>
      </c>
      <c r="L190" s="37" t="s">
        <v>4517</v>
      </c>
      <c r="M190" s="37" t="s">
        <v>4892</v>
      </c>
      <c r="N190" s="37" t="s">
        <v>4893</v>
      </c>
    </row>
    <row r="191" spans="1:14" ht="20.100000000000001" customHeight="1" x14ac:dyDescent="0.25">
      <c r="A191" s="36" t="s">
        <v>4889</v>
      </c>
      <c r="B191" s="37" t="s">
        <v>78</v>
      </c>
      <c r="C191" s="36">
        <v>7100545</v>
      </c>
      <c r="D191" s="37" t="s">
        <v>4890</v>
      </c>
      <c r="E191" s="36" t="s">
        <v>4952</v>
      </c>
      <c r="F191" s="21" t="str">
        <f>HYPERLINK("https://psearch.kitsapgov.com/webappa/index.html?parcelID=2650786&amp;Theme=Imagery","2650786")</f>
        <v>2650786</v>
      </c>
      <c r="G191" s="37" t="s">
        <v>3019</v>
      </c>
      <c r="H191" s="38">
        <v>44327</v>
      </c>
      <c r="I191" s="39">
        <v>9310000</v>
      </c>
      <c r="J191" s="40">
        <v>0.18</v>
      </c>
      <c r="K191" s="37" t="s">
        <v>377</v>
      </c>
      <c r="L191" s="37" t="s">
        <v>4517</v>
      </c>
      <c r="M191" s="37" t="s">
        <v>4892</v>
      </c>
      <c r="N191" s="37" t="s">
        <v>4893</v>
      </c>
    </row>
    <row r="192" spans="1:14" ht="20.100000000000001" customHeight="1" x14ac:dyDescent="0.25">
      <c r="A192" s="36" t="s">
        <v>4889</v>
      </c>
      <c r="B192" s="37" t="s">
        <v>78</v>
      </c>
      <c r="C192" s="36">
        <v>7100545</v>
      </c>
      <c r="D192" s="37" t="s">
        <v>4890</v>
      </c>
      <c r="E192" s="36" t="s">
        <v>4953</v>
      </c>
      <c r="F192" s="21" t="str">
        <f>HYPERLINK("https://psearch.kitsapgov.com/webappa/index.html?parcelID=2650794&amp;Theme=Imagery","2650794")</f>
        <v>2650794</v>
      </c>
      <c r="G192" s="37" t="s">
        <v>3019</v>
      </c>
      <c r="H192" s="38">
        <v>44327</v>
      </c>
      <c r="I192" s="39">
        <v>9310000</v>
      </c>
      <c r="J192" s="40">
        <v>0.15</v>
      </c>
      <c r="K192" s="37" t="s">
        <v>377</v>
      </c>
      <c r="L192" s="37" t="s">
        <v>4517</v>
      </c>
      <c r="M192" s="37" t="s">
        <v>4892</v>
      </c>
      <c r="N192" s="37" t="s">
        <v>4893</v>
      </c>
    </row>
    <row r="193" spans="1:14" ht="20.100000000000001" customHeight="1" x14ac:dyDescent="0.25">
      <c r="A193" s="36" t="s">
        <v>4889</v>
      </c>
      <c r="B193" s="37" t="s">
        <v>78</v>
      </c>
      <c r="C193" s="36">
        <v>7100545</v>
      </c>
      <c r="D193" s="37" t="s">
        <v>4890</v>
      </c>
      <c r="E193" s="36" t="s">
        <v>4954</v>
      </c>
      <c r="F193" s="21" t="str">
        <f>HYPERLINK("https://psearch.kitsapgov.com/webappa/index.html?parcelID=2650802&amp;Theme=Imagery","2650802")</f>
        <v>2650802</v>
      </c>
      <c r="G193" s="37" t="s">
        <v>3019</v>
      </c>
      <c r="H193" s="38">
        <v>44327</v>
      </c>
      <c r="I193" s="39">
        <v>9310000</v>
      </c>
      <c r="J193" s="40">
        <v>0.15</v>
      </c>
      <c r="K193" s="37" t="s">
        <v>377</v>
      </c>
      <c r="L193" s="37" t="s">
        <v>4517</v>
      </c>
      <c r="M193" s="37" t="s">
        <v>4892</v>
      </c>
      <c r="N193" s="37" t="s">
        <v>4893</v>
      </c>
    </row>
    <row r="194" spans="1:14" ht="20.100000000000001" customHeight="1" x14ac:dyDescent="0.25">
      <c r="A194" s="36" t="s">
        <v>4889</v>
      </c>
      <c r="B194" s="37" t="s">
        <v>78</v>
      </c>
      <c r="C194" s="36">
        <v>7100545</v>
      </c>
      <c r="D194" s="37" t="s">
        <v>4890</v>
      </c>
      <c r="E194" s="36" t="s">
        <v>4955</v>
      </c>
      <c r="F194" s="21" t="str">
        <f>HYPERLINK("https://psearch.kitsapgov.com/webappa/index.html?parcelID=2650810&amp;Theme=Imagery","2650810")</f>
        <v>2650810</v>
      </c>
      <c r="G194" s="37" t="s">
        <v>3019</v>
      </c>
      <c r="H194" s="38">
        <v>44327</v>
      </c>
      <c r="I194" s="39">
        <v>9310000</v>
      </c>
      <c r="J194" s="40">
        <v>0.15</v>
      </c>
      <c r="K194" s="37" t="s">
        <v>377</v>
      </c>
      <c r="L194" s="37" t="s">
        <v>4517</v>
      </c>
      <c r="M194" s="37" t="s">
        <v>4892</v>
      </c>
      <c r="N194" s="37" t="s">
        <v>4893</v>
      </c>
    </row>
    <row r="195" spans="1:14" ht="20.100000000000001" customHeight="1" x14ac:dyDescent="0.25">
      <c r="A195" s="36" t="s">
        <v>4889</v>
      </c>
      <c r="B195" s="37" t="s">
        <v>78</v>
      </c>
      <c r="C195" s="36">
        <v>7100545</v>
      </c>
      <c r="D195" s="37" t="s">
        <v>4890</v>
      </c>
      <c r="E195" s="36" t="s">
        <v>4956</v>
      </c>
      <c r="F195" s="21" t="str">
        <f>HYPERLINK("https://psearch.kitsapgov.com/webappa/index.html?parcelID=2650828&amp;Theme=Imagery","2650828")</f>
        <v>2650828</v>
      </c>
      <c r="G195" s="37" t="s">
        <v>3019</v>
      </c>
      <c r="H195" s="38">
        <v>44327</v>
      </c>
      <c r="I195" s="39">
        <v>9310000</v>
      </c>
      <c r="J195" s="40">
        <v>0.14000000000000001</v>
      </c>
      <c r="K195" s="37" t="s">
        <v>377</v>
      </c>
      <c r="L195" s="37" t="s">
        <v>4517</v>
      </c>
      <c r="M195" s="37" t="s">
        <v>4892</v>
      </c>
      <c r="N195" s="37" t="s">
        <v>4893</v>
      </c>
    </row>
    <row r="196" spans="1:14" ht="20.100000000000001" customHeight="1" x14ac:dyDescent="0.25">
      <c r="A196" s="36" t="s">
        <v>4889</v>
      </c>
      <c r="B196" s="37" t="s">
        <v>78</v>
      </c>
      <c r="C196" s="36">
        <v>7100545</v>
      </c>
      <c r="D196" s="37" t="s">
        <v>4890</v>
      </c>
      <c r="E196" s="36" t="s">
        <v>4957</v>
      </c>
      <c r="F196" s="21" t="str">
        <f>HYPERLINK("https://psearch.kitsapgov.com/webappa/index.html?parcelID=2650836&amp;Theme=Imagery","2650836")</f>
        <v>2650836</v>
      </c>
      <c r="G196" s="37" t="s">
        <v>3019</v>
      </c>
      <c r="H196" s="38">
        <v>44327</v>
      </c>
      <c r="I196" s="39">
        <v>9310000</v>
      </c>
      <c r="J196" s="40">
        <v>0.14000000000000001</v>
      </c>
      <c r="K196" s="37" t="s">
        <v>377</v>
      </c>
      <c r="L196" s="37" t="s">
        <v>4517</v>
      </c>
      <c r="M196" s="37" t="s">
        <v>4892</v>
      </c>
      <c r="N196" s="37" t="s">
        <v>4893</v>
      </c>
    </row>
    <row r="197" spans="1:14" ht="20.100000000000001" customHeight="1" x14ac:dyDescent="0.25">
      <c r="A197" s="36" t="s">
        <v>4889</v>
      </c>
      <c r="B197" s="37" t="s">
        <v>78</v>
      </c>
      <c r="C197" s="36">
        <v>7100545</v>
      </c>
      <c r="D197" s="37" t="s">
        <v>4890</v>
      </c>
      <c r="E197" s="36" t="s">
        <v>4958</v>
      </c>
      <c r="F197" s="21" t="str">
        <f>HYPERLINK("https://psearch.kitsapgov.com/webappa/index.html?parcelID=2650844&amp;Theme=Imagery","2650844")</f>
        <v>2650844</v>
      </c>
      <c r="G197" s="37" t="s">
        <v>3019</v>
      </c>
      <c r="H197" s="38">
        <v>44327</v>
      </c>
      <c r="I197" s="39">
        <v>9310000</v>
      </c>
      <c r="J197" s="40">
        <v>0.14000000000000001</v>
      </c>
      <c r="K197" s="37" t="s">
        <v>377</v>
      </c>
      <c r="L197" s="37" t="s">
        <v>4517</v>
      </c>
      <c r="M197" s="37" t="s">
        <v>4892</v>
      </c>
      <c r="N197" s="37" t="s">
        <v>4893</v>
      </c>
    </row>
    <row r="198" spans="1:14" ht="20.100000000000001" customHeight="1" x14ac:dyDescent="0.25">
      <c r="A198" s="36" t="s">
        <v>4889</v>
      </c>
      <c r="B198" s="37" t="s">
        <v>78</v>
      </c>
      <c r="C198" s="36">
        <v>7100545</v>
      </c>
      <c r="D198" s="37" t="s">
        <v>4890</v>
      </c>
      <c r="E198" s="36" t="s">
        <v>4959</v>
      </c>
      <c r="F198" s="21" t="str">
        <f>HYPERLINK("https://psearch.kitsapgov.com/webappa/index.html?parcelID=2650851&amp;Theme=Imagery","2650851")</f>
        <v>2650851</v>
      </c>
      <c r="G198" s="37" t="s">
        <v>3019</v>
      </c>
      <c r="H198" s="38">
        <v>44327</v>
      </c>
      <c r="I198" s="39">
        <v>9310000</v>
      </c>
      <c r="J198" s="40">
        <v>0.15</v>
      </c>
      <c r="K198" s="37" t="s">
        <v>377</v>
      </c>
      <c r="L198" s="37" t="s">
        <v>4517</v>
      </c>
      <c r="M198" s="37" t="s">
        <v>4892</v>
      </c>
      <c r="N198" s="37" t="s">
        <v>4893</v>
      </c>
    </row>
    <row r="199" spans="1:14" ht="20.100000000000001" customHeight="1" x14ac:dyDescent="0.25">
      <c r="A199" s="36" t="s">
        <v>4889</v>
      </c>
      <c r="B199" s="37" t="s">
        <v>78</v>
      </c>
      <c r="C199" s="36">
        <v>7100545</v>
      </c>
      <c r="D199" s="37" t="s">
        <v>4890</v>
      </c>
      <c r="E199" s="36" t="s">
        <v>4960</v>
      </c>
      <c r="F199" s="21" t="str">
        <f>HYPERLINK("https://psearch.kitsapgov.com/webappa/index.html?parcelID=2650869&amp;Theme=Imagery","2650869")</f>
        <v>2650869</v>
      </c>
      <c r="G199" s="37" t="s">
        <v>3019</v>
      </c>
      <c r="H199" s="38">
        <v>44327</v>
      </c>
      <c r="I199" s="39">
        <v>9310000</v>
      </c>
      <c r="J199" s="40">
        <v>0.18</v>
      </c>
      <c r="K199" s="37" t="s">
        <v>377</v>
      </c>
      <c r="L199" s="37" t="s">
        <v>4517</v>
      </c>
      <c r="M199" s="37" t="s">
        <v>4892</v>
      </c>
      <c r="N199" s="37" t="s">
        <v>4893</v>
      </c>
    </row>
    <row r="200" spans="1:14" ht="20.100000000000001" customHeight="1" x14ac:dyDescent="0.25">
      <c r="A200" s="36" t="s">
        <v>4889</v>
      </c>
      <c r="B200" s="37" t="s">
        <v>78</v>
      </c>
      <c r="C200" s="36">
        <v>7100545</v>
      </c>
      <c r="D200" s="37" t="s">
        <v>4890</v>
      </c>
      <c r="E200" s="36" t="s">
        <v>4961</v>
      </c>
      <c r="F200" s="21" t="str">
        <f>HYPERLINK("https://psearch.kitsapgov.com/webappa/index.html?parcelID=2650877&amp;Theme=Imagery","2650877")</f>
        <v>2650877</v>
      </c>
      <c r="G200" s="37" t="s">
        <v>3019</v>
      </c>
      <c r="H200" s="38">
        <v>44327</v>
      </c>
      <c r="I200" s="39">
        <v>9310000</v>
      </c>
      <c r="J200" s="40">
        <v>0.18</v>
      </c>
      <c r="K200" s="37" t="s">
        <v>377</v>
      </c>
      <c r="L200" s="37" t="s">
        <v>4517</v>
      </c>
      <c r="M200" s="37" t="s">
        <v>4892</v>
      </c>
      <c r="N200" s="37" t="s">
        <v>4893</v>
      </c>
    </row>
    <row r="201" spans="1:14" ht="20.100000000000001" customHeight="1" x14ac:dyDescent="0.25">
      <c r="A201" s="36" t="s">
        <v>4889</v>
      </c>
      <c r="B201" s="37" t="s">
        <v>78</v>
      </c>
      <c r="C201" s="36">
        <v>7100545</v>
      </c>
      <c r="D201" s="37" t="s">
        <v>4890</v>
      </c>
      <c r="E201" s="36" t="s">
        <v>4962</v>
      </c>
      <c r="F201" s="21" t="str">
        <f>HYPERLINK("https://psearch.kitsapgov.com/webappa/index.html?parcelID=2650885&amp;Theme=Imagery","2650885")</f>
        <v>2650885</v>
      </c>
      <c r="G201" s="37" t="s">
        <v>3019</v>
      </c>
      <c r="H201" s="38">
        <v>44327</v>
      </c>
      <c r="I201" s="39">
        <v>9310000</v>
      </c>
      <c r="J201" s="40">
        <v>0.14000000000000001</v>
      </c>
      <c r="K201" s="37" t="s">
        <v>377</v>
      </c>
      <c r="L201" s="37" t="s">
        <v>4517</v>
      </c>
      <c r="M201" s="37" t="s">
        <v>4892</v>
      </c>
      <c r="N201" s="37" t="s">
        <v>4893</v>
      </c>
    </row>
    <row r="202" spans="1:14" ht="20.100000000000001" customHeight="1" x14ac:dyDescent="0.25">
      <c r="A202" s="36" t="s">
        <v>4889</v>
      </c>
      <c r="B202" s="37" t="s">
        <v>78</v>
      </c>
      <c r="C202" s="36">
        <v>7100545</v>
      </c>
      <c r="D202" s="37" t="s">
        <v>4890</v>
      </c>
      <c r="E202" s="36" t="s">
        <v>4963</v>
      </c>
      <c r="F202" s="21" t="str">
        <f>HYPERLINK("https://psearch.kitsapgov.com/webappa/index.html?parcelID=2650893&amp;Theme=Imagery","2650893")</f>
        <v>2650893</v>
      </c>
      <c r="G202" s="37" t="s">
        <v>3019</v>
      </c>
      <c r="H202" s="38">
        <v>44327</v>
      </c>
      <c r="I202" s="39">
        <v>9310000</v>
      </c>
      <c r="J202" s="40">
        <v>0.14000000000000001</v>
      </c>
      <c r="K202" s="37" t="s">
        <v>377</v>
      </c>
      <c r="L202" s="37" t="s">
        <v>4517</v>
      </c>
      <c r="M202" s="37" t="s">
        <v>4892</v>
      </c>
      <c r="N202" s="37" t="s">
        <v>4893</v>
      </c>
    </row>
    <row r="203" spans="1:14" ht="20.100000000000001" customHeight="1" x14ac:dyDescent="0.25">
      <c r="A203" s="36" t="s">
        <v>4889</v>
      </c>
      <c r="B203" s="37" t="s">
        <v>78</v>
      </c>
      <c r="C203" s="36">
        <v>7100545</v>
      </c>
      <c r="D203" s="37" t="s">
        <v>4890</v>
      </c>
      <c r="E203" s="36" t="s">
        <v>4964</v>
      </c>
      <c r="F203" s="21" t="str">
        <f>HYPERLINK("https://psearch.kitsapgov.com/webappa/index.html?parcelID=2650901&amp;Theme=Imagery","2650901")</f>
        <v>2650901</v>
      </c>
      <c r="G203" s="37" t="s">
        <v>3019</v>
      </c>
      <c r="H203" s="38">
        <v>44327</v>
      </c>
      <c r="I203" s="39">
        <v>9310000</v>
      </c>
      <c r="J203" s="40">
        <v>0.14000000000000001</v>
      </c>
      <c r="K203" s="37" t="s">
        <v>377</v>
      </c>
      <c r="L203" s="37" t="s">
        <v>4517</v>
      </c>
      <c r="M203" s="37" t="s">
        <v>4892</v>
      </c>
      <c r="N203" s="37" t="s">
        <v>4893</v>
      </c>
    </row>
    <row r="204" spans="1:14" ht="20.100000000000001" customHeight="1" x14ac:dyDescent="0.25">
      <c r="A204" s="36" t="s">
        <v>4889</v>
      </c>
      <c r="B204" s="37" t="s">
        <v>78</v>
      </c>
      <c r="C204" s="36">
        <v>7100545</v>
      </c>
      <c r="D204" s="37" t="s">
        <v>4890</v>
      </c>
      <c r="E204" s="36" t="s">
        <v>4965</v>
      </c>
      <c r="F204" s="21" t="str">
        <f>HYPERLINK("https://psearch.kitsapgov.com/webappa/index.html?parcelID=2650919&amp;Theme=Imagery","2650919")</f>
        <v>2650919</v>
      </c>
      <c r="G204" s="37" t="s">
        <v>3019</v>
      </c>
      <c r="H204" s="38">
        <v>44327</v>
      </c>
      <c r="I204" s="39">
        <v>9310000</v>
      </c>
      <c r="J204" s="40">
        <v>0.14000000000000001</v>
      </c>
      <c r="K204" s="37" t="s">
        <v>377</v>
      </c>
      <c r="L204" s="37" t="s">
        <v>4517</v>
      </c>
      <c r="M204" s="37" t="s">
        <v>4892</v>
      </c>
      <c r="N204" s="37" t="s">
        <v>4893</v>
      </c>
    </row>
    <row r="205" spans="1:14" ht="20.100000000000001" customHeight="1" x14ac:dyDescent="0.25">
      <c r="A205" s="36" t="s">
        <v>4889</v>
      </c>
      <c r="B205" s="37" t="s">
        <v>78</v>
      </c>
      <c r="C205" s="36">
        <v>7100545</v>
      </c>
      <c r="D205" s="37" t="s">
        <v>4890</v>
      </c>
      <c r="E205" s="36" t="s">
        <v>4966</v>
      </c>
      <c r="F205" s="21" t="str">
        <f>HYPERLINK("https://psearch.kitsapgov.com/webappa/index.html?parcelID=2650927&amp;Theme=Imagery","2650927")</f>
        <v>2650927</v>
      </c>
      <c r="G205" s="37" t="s">
        <v>3019</v>
      </c>
      <c r="H205" s="38">
        <v>44327</v>
      </c>
      <c r="I205" s="39">
        <v>9310000</v>
      </c>
      <c r="J205" s="40">
        <v>0.14000000000000001</v>
      </c>
      <c r="K205" s="37" t="s">
        <v>377</v>
      </c>
      <c r="L205" s="37" t="s">
        <v>4517</v>
      </c>
      <c r="M205" s="37" t="s">
        <v>4892</v>
      </c>
      <c r="N205" s="37" t="s">
        <v>4893</v>
      </c>
    </row>
    <row r="206" spans="1:14" ht="20.100000000000001" customHeight="1" x14ac:dyDescent="0.25">
      <c r="A206" s="36" t="s">
        <v>4889</v>
      </c>
      <c r="B206" s="37" t="s">
        <v>78</v>
      </c>
      <c r="C206" s="36">
        <v>7100545</v>
      </c>
      <c r="D206" s="37" t="s">
        <v>4890</v>
      </c>
      <c r="E206" s="36" t="s">
        <v>4967</v>
      </c>
      <c r="F206" s="21" t="str">
        <f>HYPERLINK("https://psearch.kitsapgov.com/webappa/index.html?parcelID=2650935&amp;Theme=Imagery","2650935")</f>
        <v>2650935</v>
      </c>
      <c r="G206" s="37" t="s">
        <v>3019</v>
      </c>
      <c r="H206" s="38">
        <v>44327</v>
      </c>
      <c r="I206" s="39">
        <v>9310000</v>
      </c>
      <c r="J206" s="40">
        <v>0.14000000000000001</v>
      </c>
      <c r="K206" s="37" t="s">
        <v>377</v>
      </c>
      <c r="L206" s="37" t="s">
        <v>4517</v>
      </c>
      <c r="M206" s="37" t="s">
        <v>4892</v>
      </c>
      <c r="N206" s="37" t="s">
        <v>4893</v>
      </c>
    </row>
    <row r="207" spans="1:14" ht="20.100000000000001" customHeight="1" x14ac:dyDescent="0.25">
      <c r="A207" s="36" t="s">
        <v>4889</v>
      </c>
      <c r="B207" s="37" t="s">
        <v>78</v>
      </c>
      <c r="C207" s="36">
        <v>7100545</v>
      </c>
      <c r="D207" s="37" t="s">
        <v>4890</v>
      </c>
      <c r="E207" s="36" t="s">
        <v>4968</v>
      </c>
      <c r="F207" s="21" t="str">
        <f>HYPERLINK("https://psearch.kitsapgov.com/webappa/index.html?parcelID=2650943&amp;Theme=Imagery","2650943")</f>
        <v>2650943</v>
      </c>
      <c r="G207" s="37" t="s">
        <v>3019</v>
      </c>
      <c r="H207" s="38">
        <v>44327</v>
      </c>
      <c r="I207" s="39">
        <v>9310000</v>
      </c>
      <c r="J207" s="40">
        <v>0.17</v>
      </c>
      <c r="K207" s="37" t="s">
        <v>377</v>
      </c>
      <c r="L207" s="37" t="s">
        <v>4517</v>
      </c>
      <c r="M207" s="37" t="s">
        <v>4892</v>
      </c>
      <c r="N207" s="37" t="s">
        <v>4893</v>
      </c>
    </row>
    <row r="208" spans="1:14" ht="20.100000000000001" customHeight="1" x14ac:dyDescent="0.25">
      <c r="A208" s="36" t="s">
        <v>4889</v>
      </c>
      <c r="B208" s="37" t="s">
        <v>78</v>
      </c>
      <c r="C208" s="36">
        <v>7100545</v>
      </c>
      <c r="D208" s="37" t="s">
        <v>4890</v>
      </c>
      <c r="E208" s="36" t="s">
        <v>4969</v>
      </c>
      <c r="F208" s="21" t="str">
        <f>HYPERLINK("https://psearch.kitsapgov.com/webappa/index.html?parcelID=2650950&amp;Theme=Imagery","2650950")</f>
        <v>2650950</v>
      </c>
      <c r="G208" s="37" t="s">
        <v>3019</v>
      </c>
      <c r="H208" s="38">
        <v>44327</v>
      </c>
      <c r="I208" s="39">
        <v>9310000</v>
      </c>
      <c r="J208" s="40">
        <v>0.14000000000000001</v>
      </c>
      <c r="K208" s="37" t="s">
        <v>377</v>
      </c>
      <c r="L208" s="37" t="s">
        <v>4517</v>
      </c>
      <c r="M208" s="37" t="s">
        <v>4892</v>
      </c>
      <c r="N208" s="37" t="s">
        <v>4893</v>
      </c>
    </row>
    <row r="209" spans="1:14" ht="20.100000000000001" customHeight="1" x14ac:dyDescent="0.25">
      <c r="A209" s="36" t="s">
        <v>4889</v>
      </c>
      <c r="B209" s="37" t="s">
        <v>78</v>
      </c>
      <c r="C209" s="36">
        <v>7100545</v>
      </c>
      <c r="D209" s="37" t="s">
        <v>4890</v>
      </c>
      <c r="E209" s="36" t="s">
        <v>4970</v>
      </c>
      <c r="F209" s="21" t="str">
        <f>HYPERLINK("https://psearch.kitsapgov.com/webappa/index.html?parcelID=2650968&amp;Theme=Imagery","2650968")</f>
        <v>2650968</v>
      </c>
      <c r="G209" s="37" t="s">
        <v>3019</v>
      </c>
      <c r="H209" s="38">
        <v>44327</v>
      </c>
      <c r="I209" s="39">
        <v>9310000</v>
      </c>
      <c r="J209" s="40">
        <v>0.14000000000000001</v>
      </c>
      <c r="K209" s="37" t="s">
        <v>377</v>
      </c>
      <c r="L209" s="37" t="s">
        <v>4517</v>
      </c>
      <c r="M209" s="37" t="s">
        <v>4892</v>
      </c>
      <c r="N209" s="37" t="s">
        <v>4893</v>
      </c>
    </row>
    <row r="210" spans="1:14" ht="20.100000000000001" customHeight="1" x14ac:dyDescent="0.25">
      <c r="A210" s="36" t="s">
        <v>4889</v>
      </c>
      <c r="B210" s="37" t="s">
        <v>78</v>
      </c>
      <c r="C210" s="36">
        <v>7100545</v>
      </c>
      <c r="D210" s="37" t="s">
        <v>4890</v>
      </c>
      <c r="E210" s="36" t="s">
        <v>4971</v>
      </c>
      <c r="F210" s="21" t="str">
        <f>HYPERLINK("https://psearch.kitsapgov.com/webappa/index.html?parcelID=2650976&amp;Theme=Imagery","2650976")</f>
        <v>2650976</v>
      </c>
      <c r="G210" s="37" t="s">
        <v>3019</v>
      </c>
      <c r="H210" s="38">
        <v>44327</v>
      </c>
      <c r="I210" s="39">
        <v>9310000</v>
      </c>
      <c r="J210" s="40">
        <v>0.14000000000000001</v>
      </c>
      <c r="K210" s="37" t="s">
        <v>377</v>
      </c>
      <c r="L210" s="37" t="s">
        <v>4517</v>
      </c>
      <c r="M210" s="37" t="s">
        <v>4892</v>
      </c>
      <c r="N210" s="37" t="s">
        <v>4893</v>
      </c>
    </row>
    <row r="211" spans="1:14" ht="20.100000000000001" customHeight="1" x14ac:dyDescent="0.25">
      <c r="A211" s="36" t="s">
        <v>4889</v>
      </c>
      <c r="B211" s="37" t="s">
        <v>78</v>
      </c>
      <c r="C211" s="36">
        <v>7100545</v>
      </c>
      <c r="D211" s="37" t="s">
        <v>4890</v>
      </c>
      <c r="E211" s="36" t="s">
        <v>4972</v>
      </c>
      <c r="F211" s="21" t="str">
        <f>HYPERLINK("https://psearch.kitsapgov.com/webappa/index.html?parcelID=2650984&amp;Theme=Imagery","2650984")</f>
        <v>2650984</v>
      </c>
      <c r="G211" s="37" t="s">
        <v>3019</v>
      </c>
      <c r="H211" s="38">
        <v>44327</v>
      </c>
      <c r="I211" s="39">
        <v>9310000</v>
      </c>
      <c r="J211" s="40">
        <v>0.14000000000000001</v>
      </c>
      <c r="K211" s="37" t="s">
        <v>377</v>
      </c>
      <c r="L211" s="37" t="s">
        <v>4517</v>
      </c>
      <c r="M211" s="37" t="s">
        <v>4892</v>
      </c>
      <c r="N211" s="37" t="s">
        <v>4893</v>
      </c>
    </row>
    <row r="212" spans="1:14" ht="20.100000000000001" customHeight="1" x14ac:dyDescent="0.25">
      <c r="A212" s="36" t="s">
        <v>4889</v>
      </c>
      <c r="B212" s="37" t="s">
        <v>78</v>
      </c>
      <c r="C212" s="36">
        <v>7100545</v>
      </c>
      <c r="D212" s="37" t="s">
        <v>4890</v>
      </c>
      <c r="E212" s="36" t="s">
        <v>4973</v>
      </c>
      <c r="F212" s="21" t="str">
        <f>HYPERLINK("https://psearch.kitsapgov.com/webappa/index.html?parcelID=2650992&amp;Theme=Imagery","2650992")</f>
        <v>2650992</v>
      </c>
      <c r="G212" s="37" t="s">
        <v>3019</v>
      </c>
      <c r="H212" s="38">
        <v>44327</v>
      </c>
      <c r="I212" s="39">
        <v>9310000</v>
      </c>
      <c r="J212" s="40">
        <v>0.14000000000000001</v>
      </c>
      <c r="K212" s="37" t="s">
        <v>377</v>
      </c>
      <c r="L212" s="37" t="s">
        <v>4517</v>
      </c>
      <c r="M212" s="37" t="s">
        <v>4892</v>
      </c>
      <c r="N212" s="37" t="s">
        <v>4893</v>
      </c>
    </row>
    <row r="213" spans="1:14" ht="20.100000000000001" customHeight="1" x14ac:dyDescent="0.25">
      <c r="A213" s="36" t="s">
        <v>4889</v>
      </c>
      <c r="B213" s="37" t="s">
        <v>78</v>
      </c>
      <c r="C213" s="36">
        <v>7100545</v>
      </c>
      <c r="D213" s="37" t="s">
        <v>4890</v>
      </c>
      <c r="E213" s="36" t="s">
        <v>4974</v>
      </c>
      <c r="F213" s="21" t="str">
        <f>HYPERLINK("https://psearch.kitsapgov.com/webappa/index.html?parcelID=2651008&amp;Theme=Imagery","2651008")</f>
        <v>2651008</v>
      </c>
      <c r="G213" s="37" t="s">
        <v>3019</v>
      </c>
      <c r="H213" s="38">
        <v>44327</v>
      </c>
      <c r="I213" s="39">
        <v>9310000</v>
      </c>
      <c r="J213" s="40">
        <v>0.16</v>
      </c>
      <c r="K213" s="37" t="s">
        <v>377</v>
      </c>
      <c r="L213" s="37" t="s">
        <v>4517</v>
      </c>
      <c r="M213" s="37" t="s">
        <v>4892</v>
      </c>
      <c r="N213" s="37" t="s">
        <v>4893</v>
      </c>
    </row>
    <row r="214" spans="1:14" ht="20.100000000000001" customHeight="1" x14ac:dyDescent="0.25">
      <c r="A214" s="36" t="s">
        <v>4889</v>
      </c>
      <c r="B214" s="37" t="s">
        <v>78</v>
      </c>
      <c r="C214" s="36">
        <v>7100545</v>
      </c>
      <c r="D214" s="37" t="s">
        <v>4890</v>
      </c>
      <c r="E214" s="36" t="s">
        <v>4975</v>
      </c>
      <c r="F214" s="21" t="str">
        <f>HYPERLINK("https://psearch.kitsapgov.com/webappa/index.html?parcelID=2651016&amp;Theme=Imagery","2651016")</f>
        <v>2651016</v>
      </c>
      <c r="G214" s="37" t="s">
        <v>3019</v>
      </c>
      <c r="H214" s="38">
        <v>44327</v>
      </c>
      <c r="I214" s="39">
        <v>9310000</v>
      </c>
      <c r="J214" s="40">
        <v>0.2</v>
      </c>
      <c r="K214" s="37" t="s">
        <v>377</v>
      </c>
      <c r="L214" s="37" t="s">
        <v>4517</v>
      </c>
      <c r="M214" s="37" t="s">
        <v>4892</v>
      </c>
      <c r="N214" s="37" t="s">
        <v>4893</v>
      </c>
    </row>
    <row r="215" spans="1:14" ht="20.100000000000001" customHeight="1" x14ac:dyDescent="0.25">
      <c r="A215" s="36" t="s">
        <v>4889</v>
      </c>
      <c r="B215" s="37" t="s">
        <v>78</v>
      </c>
      <c r="C215" s="36">
        <v>7100545</v>
      </c>
      <c r="D215" s="37" t="s">
        <v>4890</v>
      </c>
      <c r="E215" s="36" t="s">
        <v>4976</v>
      </c>
      <c r="F215" s="21" t="str">
        <f>HYPERLINK("https://psearch.kitsapgov.com/webappa/index.html?parcelID=2651024&amp;Theme=Imagery","2651024")</f>
        <v>2651024</v>
      </c>
      <c r="G215" s="37" t="s">
        <v>3019</v>
      </c>
      <c r="H215" s="38">
        <v>44327</v>
      </c>
      <c r="I215" s="39">
        <v>9310000</v>
      </c>
      <c r="J215" s="40">
        <v>0.18</v>
      </c>
      <c r="K215" s="37" t="s">
        <v>377</v>
      </c>
      <c r="L215" s="37" t="s">
        <v>4517</v>
      </c>
      <c r="M215" s="37" t="s">
        <v>4892</v>
      </c>
      <c r="N215" s="37" t="s">
        <v>4893</v>
      </c>
    </row>
    <row r="216" spans="1:14" ht="20.100000000000001" customHeight="1" x14ac:dyDescent="0.25">
      <c r="A216" s="36" t="s">
        <v>4889</v>
      </c>
      <c r="B216" s="37" t="s">
        <v>78</v>
      </c>
      <c r="C216" s="36">
        <v>7100545</v>
      </c>
      <c r="D216" s="37" t="s">
        <v>4890</v>
      </c>
      <c r="E216" s="36" t="s">
        <v>4977</v>
      </c>
      <c r="F216" s="21" t="str">
        <f>HYPERLINK("https://psearch.kitsapgov.com/webappa/index.html?parcelID=2651032&amp;Theme=Imagery","2651032")</f>
        <v>2651032</v>
      </c>
      <c r="G216" s="37" t="s">
        <v>3019</v>
      </c>
      <c r="H216" s="38">
        <v>44327</v>
      </c>
      <c r="I216" s="39">
        <v>9310000</v>
      </c>
      <c r="J216" s="40">
        <v>0.14000000000000001</v>
      </c>
      <c r="K216" s="37" t="s">
        <v>377</v>
      </c>
      <c r="L216" s="37" t="s">
        <v>4517</v>
      </c>
      <c r="M216" s="37" t="s">
        <v>4892</v>
      </c>
      <c r="N216" s="37" t="s">
        <v>4893</v>
      </c>
    </row>
    <row r="217" spans="1:14" ht="20.100000000000001" customHeight="1" x14ac:dyDescent="0.25">
      <c r="A217" s="36" t="s">
        <v>4889</v>
      </c>
      <c r="B217" s="37" t="s">
        <v>78</v>
      </c>
      <c r="C217" s="36">
        <v>7100545</v>
      </c>
      <c r="D217" s="37" t="s">
        <v>4890</v>
      </c>
      <c r="E217" s="36" t="s">
        <v>4978</v>
      </c>
      <c r="F217" s="21" t="str">
        <f>HYPERLINK("https://psearch.kitsapgov.com/webappa/index.html?parcelID=2651040&amp;Theme=Imagery","2651040")</f>
        <v>2651040</v>
      </c>
      <c r="G217" s="37" t="s">
        <v>3019</v>
      </c>
      <c r="H217" s="38">
        <v>44327</v>
      </c>
      <c r="I217" s="39">
        <v>9310000</v>
      </c>
      <c r="J217" s="40">
        <v>0.14000000000000001</v>
      </c>
      <c r="K217" s="37" t="s">
        <v>377</v>
      </c>
      <c r="L217" s="37" t="s">
        <v>4517</v>
      </c>
      <c r="M217" s="37" t="s">
        <v>4892</v>
      </c>
      <c r="N217" s="37" t="s">
        <v>4893</v>
      </c>
    </row>
    <row r="218" spans="1:14" ht="20.100000000000001" customHeight="1" x14ac:dyDescent="0.25">
      <c r="A218" s="36" t="s">
        <v>4889</v>
      </c>
      <c r="B218" s="37" t="s">
        <v>78</v>
      </c>
      <c r="C218" s="36">
        <v>7100545</v>
      </c>
      <c r="D218" s="37" t="s">
        <v>4890</v>
      </c>
      <c r="E218" s="36" t="s">
        <v>4979</v>
      </c>
      <c r="F218" s="21" t="str">
        <f>HYPERLINK("https://psearch.kitsapgov.com/webappa/index.html?parcelID=2651057&amp;Theme=Imagery","2651057")</f>
        <v>2651057</v>
      </c>
      <c r="G218" s="37" t="s">
        <v>3019</v>
      </c>
      <c r="H218" s="38">
        <v>44327</v>
      </c>
      <c r="I218" s="39">
        <v>9310000</v>
      </c>
      <c r="J218" s="40">
        <v>0.14000000000000001</v>
      </c>
      <c r="K218" s="37" t="s">
        <v>377</v>
      </c>
      <c r="L218" s="37" t="s">
        <v>4517</v>
      </c>
      <c r="M218" s="37" t="s">
        <v>4892</v>
      </c>
      <c r="N218" s="37" t="s">
        <v>4893</v>
      </c>
    </row>
    <row r="219" spans="1:14" ht="20.100000000000001" customHeight="1" x14ac:dyDescent="0.25">
      <c r="A219" s="36" t="s">
        <v>4889</v>
      </c>
      <c r="B219" s="37" t="s">
        <v>78</v>
      </c>
      <c r="C219" s="36">
        <v>7100545</v>
      </c>
      <c r="D219" s="37" t="s">
        <v>4890</v>
      </c>
      <c r="E219" s="36" t="s">
        <v>4980</v>
      </c>
      <c r="F219" s="21" t="str">
        <f>HYPERLINK("https://psearch.kitsapgov.com/webappa/index.html?parcelID=2651065&amp;Theme=Imagery","2651065")</f>
        <v>2651065</v>
      </c>
      <c r="G219" s="37" t="s">
        <v>3019</v>
      </c>
      <c r="H219" s="38">
        <v>44327</v>
      </c>
      <c r="I219" s="39">
        <v>9310000</v>
      </c>
      <c r="J219" s="40">
        <v>0.14000000000000001</v>
      </c>
      <c r="K219" s="37" t="s">
        <v>377</v>
      </c>
      <c r="L219" s="37" t="s">
        <v>4517</v>
      </c>
      <c r="M219" s="37" t="s">
        <v>4892</v>
      </c>
      <c r="N219" s="37" t="s">
        <v>4893</v>
      </c>
    </row>
    <row r="220" spans="1:14" ht="20.100000000000001" customHeight="1" x14ac:dyDescent="0.25">
      <c r="A220" s="36" t="s">
        <v>4889</v>
      </c>
      <c r="B220" s="37" t="s">
        <v>78</v>
      </c>
      <c r="C220" s="36">
        <v>7100545</v>
      </c>
      <c r="D220" s="37" t="s">
        <v>4890</v>
      </c>
      <c r="E220" s="36" t="s">
        <v>4981</v>
      </c>
      <c r="F220" s="21" t="str">
        <f>HYPERLINK("https://psearch.kitsapgov.com/webappa/index.html?parcelID=2651073&amp;Theme=Imagery","2651073")</f>
        <v>2651073</v>
      </c>
      <c r="G220" s="37" t="s">
        <v>3019</v>
      </c>
      <c r="H220" s="38">
        <v>44327</v>
      </c>
      <c r="I220" s="39">
        <v>9310000</v>
      </c>
      <c r="J220" s="40">
        <v>0.14000000000000001</v>
      </c>
      <c r="K220" s="37" t="s">
        <v>377</v>
      </c>
      <c r="L220" s="37" t="s">
        <v>4517</v>
      </c>
      <c r="M220" s="37" t="s">
        <v>4892</v>
      </c>
      <c r="N220" s="37" t="s">
        <v>4893</v>
      </c>
    </row>
    <row r="221" spans="1:14" ht="20.100000000000001" customHeight="1" x14ac:dyDescent="0.25">
      <c r="A221" s="36" t="s">
        <v>4889</v>
      </c>
      <c r="B221" s="37" t="s">
        <v>78</v>
      </c>
      <c r="C221" s="36">
        <v>7100545</v>
      </c>
      <c r="D221" s="37" t="s">
        <v>4890</v>
      </c>
      <c r="E221" s="36" t="s">
        <v>4982</v>
      </c>
      <c r="F221" s="21" t="str">
        <f>HYPERLINK("https://psearch.kitsapgov.com/webappa/index.html?parcelID=2651081&amp;Theme=Imagery","2651081")</f>
        <v>2651081</v>
      </c>
      <c r="G221" s="37" t="s">
        <v>3019</v>
      </c>
      <c r="H221" s="38">
        <v>44327</v>
      </c>
      <c r="I221" s="39">
        <v>9310000</v>
      </c>
      <c r="J221" s="40">
        <v>0.14000000000000001</v>
      </c>
      <c r="K221" s="37" t="s">
        <v>377</v>
      </c>
      <c r="L221" s="37" t="s">
        <v>4517</v>
      </c>
      <c r="M221" s="37" t="s">
        <v>4892</v>
      </c>
      <c r="N221" s="37" t="s">
        <v>4893</v>
      </c>
    </row>
    <row r="222" spans="1:14" ht="20.100000000000001" customHeight="1" x14ac:dyDescent="0.25">
      <c r="A222" s="36" t="s">
        <v>4889</v>
      </c>
      <c r="B222" s="37" t="s">
        <v>78</v>
      </c>
      <c r="C222" s="36">
        <v>7100545</v>
      </c>
      <c r="D222" s="37" t="s">
        <v>4890</v>
      </c>
      <c r="E222" s="36" t="s">
        <v>4983</v>
      </c>
      <c r="F222" s="21" t="str">
        <f>HYPERLINK("https://psearch.kitsapgov.com/webappa/index.html?parcelID=2651099&amp;Theme=Imagery","2651099")</f>
        <v>2651099</v>
      </c>
      <c r="G222" s="37" t="s">
        <v>3019</v>
      </c>
      <c r="H222" s="38">
        <v>44327</v>
      </c>
      <c r="I222" s="39">
        <v>9310000</v>
      </c>
      <c r="J222" s="40">
        <v>0.17</v>
      </c>
      <c r="K222" s="37" t="s">
        <v>377</v>
      </c>
      <c r="L222" s="37" t="s">
        <v>4517</v>
      </c>
      <c r="M222" s="37" t="s">
        <v>4892</v>
      </c>
      <c r="N222" s="37" t="s">
        <v>4893</v>
      </c>
    </row>
    <row r="223" spans="1:14" ht="20.100000000000001" customHeight="1" x14ac:dyDescent="0.25">
      <c r="A223" s="36" t="s">
        <v>4889</v>
      </c>
      <c r="B223" s="37" t="s">
        <v>78</v>
      </c>
      <c r="C223" s="36">
        <v>7100545</v>
      </c>
      <c r="D223" s="37" t="s">
        <v>4890</v>
      </c>
      <c r="E223" s="36" t="s">
        <v>4984</v>
      </c>
      <c r="F223" s="21" t="str">
        <f>HYPERLINK("https://psearch.kitsapgov.com/webappa/index.html?parcelID=2651107&amp;Theme=Imagery","2651107")</f>
        <v>2651107</v>
      </c>
      <c r="G223" s="37" t="s">
        <v>3019</v>
      </c>
      <c r="H223" s="38">
        <v>44327</v>
      </c>
      <c r="I223" s="39">
        <v>9310000</v>
      </c>
      <c r="J223" s="40">
        <v>0.14000000000000001</v>
      </c>
      <c r="K223" s="37" t="s">
        <v>377</v>
      </c>
      <c r="L223" s="37" t="s">
        <v>4517</v>
      </c>
      <c r="M223" s="37" t="s">
        <v>4892</v>
      </c>
      <c r="N223" s="37" t="s">
        <v>4893</v>
      </c>
    </row>
    <row r="224" spans="1:14" ht="20.100000000000001" customHeight="1" x14ac:dyDescent="0.25">
      <c r="A224" s="36" t="s">
        <v>4889</v>
      </c>
      <c r="B224" s="37" t="s">
        <v>78</v>
      </c>
      <c r="C224" s="36">
        <v>7100545</v>
      </c>
      <c r="D224" s="37" t="s">
        <v>4890</v>
      </c>
      <c r="E224" s="36" t="s">
        <v>4985</v>
      </c>
      <c r="F224" s="21" t="str">
        <f>HYPERLINK("https://psearch.kitsapgov.com/webappa/index.html?parcelID=2651115&amp;Theme=Imagery","2651115")</f>
        <v>2651115</v>
      </c>
      <c r="G224" s="37" t="s">
        <v>3019</v>
      </c>
      <c r="H224" s="38">
        <v>44327</v>
      </c>
      <c r="I224" s="39">
        <v>9310000</v>
      </c>
      <c r="J224" s="40">
        <v>0.14000000000000001</v>
      </c>
      <c r="K224" s="37" t="s">
        <v>377</v>
      </c>
      <c r="L224" s="37" t="s">
        <v>4517</v>
      </c>
      <c r="M224" s="37" t="s">
        <v>4892</v>
      </c>
      <c r="N224" s="37" t="s">
        <v>4893</v>
      </c>
    </row>
    <row r="225" spans="1:14" ht="20.100000000000001" customHeight="1" x14ac:dyDescent="0.25">
      <c r="A225" s="36" t="s">
        <v>4889</v>
      </c>
      <c r="B225" s="37" t="s">
        <v>78</v>
      </c>
      <c r="C225" s="36">
        <v>7100545</v>
      </c>
      <c r="D225" s="37" t="s">
        <v>4890</v>
      </c>
      <c r="E225" s="36" t="s">
        <v>4986</v>
      </c>
      <c r="F225" s="21" t="str">
        <f>HYPERLINK("https://psearch.kitsapgov.com/webappa/index.html?parcelID=2651123&amp;Theme=Imagery","2651123")</f>
        <v>2651123</v>
      </c>
      <c r="G225" s="37" t="s">
        <v>3019</v>
      </c>
      <c r="H225" s="38">
        <v>44327</v>
      </c>
      <c r="I225" s="39">
        <v>9310000</v>
      </c>
      <c r="J225" s="40">
        <v>0.14000000000000001</v>
      </c>
      <c r="K225" s="37" t="s">
        <v>377</v>
      </c>
      <c r="L225" s="37" t="s">
        <v>4517</v>
      </c>
      <c r="M225" s="37" t="s">
        <v>4892</v>
      </c>
      <c r="N225" s="37" t="s">
        <v>4893</v>
      </c>
    </row>
    <row r="226" spans="1:14" ht="20.100000000000001" customHeight="1" x14ac:dyDescent="0.25">
      <c r="A226" s="36" t="s">
        <v>4889</v>
      </c>
      <c r="B226" s="37" t="s">
        <v>78</v>
      </c>
      <c r="C226" s="36">
        <v>7100545</v>
      </c>
      <c r="D226" s="37" t="s">
        <v>4890</v>
      </c>
      <c r="E226" s="36" t="s">
        <v>4987</v>
      </c>
      <c r="F226" s="21" t="str">
        <f>HYPERLINK("https://psearch.kitsapgov.com/webappa/index.html?parcelID=2651131&amp;Theme=Imagery","2651131")</f>
        <v>2651131</v>
      </c>
      <c r="G226" s="37" t="s">
        <v>3019</v>
      </c>
      <c r="H226" s="38">
        <v>44327</v>
      </c>
      <c r="I226" s="39">
        <v>9310000</v>
      </c>
      <c r="J226" s="40">
        <v>0.14000000000000001</v>
      </c>
      <c r="K226" s="37" t="s">
        <v>377</v>
      </c>
      <c r="L226" s="37" t="s">
        <v>4517</v>
      </c>
      <c r="M226" s="37" t="s">
        <v>4892</v>
      </c>
      <c r="N226" s="37" t="s">
        <v>4893</v>
      </c>
    </row>
    <row r="227" spans="1:14" ht="20.100000000000001" customHeight="1" x14ac:dyDescent="0.25">
      <c r="A227" s="36" t="s">
        <v>4889</v>
      </c>
      <c r="B227" s="37" t="s">
        <v>78</v>
      </c>
      <c r="C227" s="36">
        <v>7100545</v>
      </c>
      <c r="D227" s="37" t="s">
        <v>4890</v>
      </c>
      <c r="E227" s="36" t="s">
        <v>4988</v>
      </c>
      <c r="F227" s="21" t="str">
        <f>HYPERLINK("https://psearch.kitsapgov.com/webappa/index.html?parcelID=2651149&amp;Theme=Imagery","2651149")</f>
        <v>2651149</v>
      </c>
      <c r="G227" s="37" t="s">
        <v>3019</v>
      </c>
      <c r="H227" s="38">
        <v>44327</v>
      </c>
      <c r="I227" s="39">
        <v>9310000</v>
      </c>
      <c r="J227" s="40">
        <v>0.14000000000000001</v>
      </c>
      <c r="K227" s="37" t="s">
        <v>377</v>
      </c>
      <c r="L227" s="37" t="s">
        <v>4517</v>
      </c>
      <c r="M227" s="37" t="s">
        <v>4892</v>
      </c>
      <c r="N227" s="37" t="s">
        <v>4893</v>
      </c>
    </row>
    <row r="228" spans="1:14" ht="20.100000000000001" customHeight="1" x14ac:dyDescent="0.25">
      <c r="A228" s="36" t="s">
        <v>4889</v>
      </c>
      <c r="B228" s="37" t="s">
        <v>78</v>
      </c>
      <c r="C228" s="36">
        <v>7100545</v>
      </c>
      <c r="D228" s="37" t="s">
        <v>4890</v>
      </c>
      <c r="E228" s="36" t="s">
        <v>4989</v>
      </c>
      <c r="F228" s="21" t="str">
        <f>HYPERLINK("https://psearch.kitsapgov.com/webappa/index.html?parcelID=2651156&amp;Theme=Imagery","2651156")</f>
        <v>2651156</v>
      </c>
      <c r="G228" s="37" t="s">
        <v>3019</v>
      </c>
      <c r="H228" s="38">
        <v>44327</v>
      </c>
      <c r="I228" s="39">
        <v>9310000</v>
      </c>
      <c r="J228" s="40">
        <v>0.14000000000000001</v>
      </c>
      <c r="K228" s="37" t="s">
        <v>377</v>
      </c>
      <c r="L228" s="37" t="s">
        <v>4517</v>
      </c>
      <c r="M228" s="37" t="s">
        <v>4892</v>
      </c>
      <c r="N228" s="37" t="s">
        <v>4893</v>
      </c>
    </row>
    <row r="229" spans="1:14" ht="20.100000000000001" customHeight="1" x14ac:dyDescent="0.25">
      <c r="A229" s="36" t="s">
        <v>4889</v>
      </c>
      <c r="B229" s="37" t="s">
        <v>78</v>
      </c>
      <c r="C229" s="36">
        <v>7100545</v>
      </c>
      <c r="D229" s="37" t="s">
        <v>4890</v>
      </c>
      <c r="E229" s="36" t="s">
        <v>4990</v>
      </c>
      <c r="F229" s="21" t="str">
        <f>HYPERLINK("https://psearch.kitsapgov.com/webappa/index.html?parcelID=2651164&amp;Theme=Imagery","2651164")</f>
        <v>2651164</v>
      </c>
      <c r="G229" s="37" t="s">
        <v>3019</v>
      </c>
      <c r="H229" s="38">
        <v>44327</v>
      </c>
      <c r="I229" s="39">
        <v>9310000</v>
      </c>
      <c r="J229" s="40">
        <v>0.14000000000000001</v>
      </c>
      <c r="K229" s="37" t="s">
        <v>377</v>
      </c>
      <c r="L229" s="37" t="s">
        <v>4517</v>
      </c>
      <c r="M229" s="37" t="s">
        <v>4892</v>
      </c>
      <c r="N229" s="37" t="s">
        <v>4893</v>
      </c>
    </row>
    <row r="230" spans="1:14" ht="20.100000000000001" customHeight="1" x14ac:dyDescent="0.25">
      <c r="A230" s="36" t="s">
        <v>4889</v>
      </c>
      <c r="B230" s="37" t="s">
        <v>78</v>
      </c>
      <c r="C230" s="36">
        <v>7100545</v>
      </c>
      <c r="D230" s="37" t="s">
        <v>4890</v>
      </c>
      <c r="E230" s="36" t="s">
        <v>4991</v>
      </c>
      <c r="F230" s="21" t="str">
        <f>HYPERLINK("https://psearch.kitsapgov.com/webappa/index.html?parcelID=2651172&amp;Theme=Imagery","2651172")</f>
        <v>2651172</v>
      </c>
      <c r="G230" s="37" t="s">
        <v>3019</v>
      </c>
      <c r="H230" s="38">
        <v>44327</v>
      </c>
      <c r="I230" s="39">
        <v>9310000</v>
      </c>
      <c r="J230" s="40">
        <v>0.15</v>
      </c>
      <c r="K230" s="37" t="s">
        <v>377</v>
      </c>
      <c r="L230" s="37" t="s">
        <v>4517</v>
      </c>
      <c r="M230" s="37" t="s">
        <v>4892</v>
      </c>
      <c r="N230" s="37" t="s">
        <v>4893</v>
      </c>
    </row>
    <row r="231" spans="1:14" ht="20.100000000000001" customHeight="1" x14ac:dyDescent="0.25">
      <c r="A231" s="36" t="s">
        <v>4889</v>
      </c>
      <c r="B231" s="37" t="s">
        <v>1026</v>
      </c>
      <c r="C231" s="36">
        <v>8100504</v>
      </c>
      <c r="D231" s="37" t="s">
        <v>210</v>
      </c>
      <c r="E231" s="36" t="s">
        <v>4992</v>
      </c>
      <c r="F231" s="21" t="str">
        <f>HYPERLINK("https://psearch.kitsapgov.com/webappa/index.html?parcelID=2651198&amp;Theme=Imagery","2651198")</f>
        <v>2651198</v>
      </c>
      <c r="G231" s="37" t="s">
        <v>3019</v>
      </c>
      <c r="H231" s="38">
        <v>44327</v>
      </c>
      <c r="I231" s="39">
        <v>9310000</v>
      </c>
      <c r="J231" s="40">
        <v>4.25</v>
      </c>
      <c r="K231" s="37" t="s">
        <v>1029</v>
      </c>
      <c r="L231" s="37" t="s">
        <v>4517</v>
      </c>
      <c r="M231" s="37" t="s">
        <v>4993</v>
      </c>
      <c r="N231" s="37" t="s">
        <v>4893</v>
      </c>
    </row>
    <row r="232" spans="1:14" ht="20.100000000000001" customHeight="1" x14ac:dyDescent="0.25">
      <c r="A232" s="36" t="s">
        <v>4889</v>
      </c>
      <c r="B232" s="37" t="s">
        <v>3685</v>
      </c>
      <c r="C232" s="36">
        <v>7100545</v>
      </c>
      <c r="D232" s="37" t="s">
        <v>4890</v>
      </c>
      <c r="E232" s="36" t="s">
        <v>4994</v>
      </c>
      <c r="F232" s="21" t="str">
        <f>HYPERLINK("https://psearch.kitsapgov.com/webappa/index.html?parcelID=2651214&amp;Theme=Imagery","2651214")</f>
        <v>2651214</v>
      </c>
      <c r="G232" s="37" t="s">
        <v>3019</v>
      </c>
      <c r="H232" s="38">
        <v>44327</v>
      </c>
      <c r="I232" s="39">
        <v>9310000</v>
      </c>
      <c r="J232" s="40">
        <v>1.26</v>
      </c>
      <c r="K232" s="37" t="s">
        <v>377</v>
      </c>
      <c r="L232" s="37" t="s">
        <v>4517</v>
      </c>
      <c r="M232" s="37" t="s">
        <v>4993</v>
      </c>
      <c r="N232" s="37" t="s">
        <v>4893</v>
      </c>
    </row>
    <row r="233" spans="1:14" ht="20.100000000000001" customHeight="1" x14ac:dyDescent="0.25">
      <c r="A233" s="36" t="s">
        <v>4889</v>
      </c>
      <c r="B233" s="37" t="s">
        <v>3685</v>
      </c>
      <c r="C233" s="36">
        <v>7100545</v>
      </c>
      <c r="D233" s="37" t="s">
        <v>4890</v>
      </c>
      <c r="E233" s="36" t="s">
        <v>4995</v>
      </c>
      <c r="F233" s="21" t="str">
        <f>HYPERLINK("https://psearch.kitsapgov.com/webappa/index.html?parcelID=2651222&amp;Theme=Imagery","2651222")</f>
        <v>2651222</v>
      </c>
      <c r="G233" s="37" t="s">
        <v>3019</v>
      </c>
      <c r="H233" s="38">
        <v>44327</v>
      </c>
      <c r="I233" s="39">
        <v>9310000</v>
      </c>
      <c r="J233" s="40">
        <v>0.2</v>
      </c>
      <c r="K233" s="37" t="s">
        <v>377</v>
      </c>
      <c r="L233" s="37" t="s">
        <v>4517</v>
      </c>
      <c r="M233" s="37" t="s">
        <v>4892</v>
      </c>
      <c r="N233" s="37" t="s">
        <v>4893</v>
      </c>
    </row>
    <row r="234" spans="1:14" ht="20.100000000000001" customHeight="1" x14ac:dyDescent="0.25">
      <c r="A234" s="36" t="s">
        <v>4889</v>
      </c>
      <c r="B234" s="37" t="s">
        <v>1026</v>
      </c>
      <c r="C234" s="36">
        <v>8100504</v>
      </c>
      <c r="D234" s="37" t="s">
        <v>210</v>
      </c>
      <c r="E234" s="36" t="s">
        <v>4996</v>
      </c>
      <c r="F234" s="21" t="str">
        <f>HYPERLINK("https://psearch.kitsapgov.com/webappa/index.html?parcelID=2651230&amp;Theme=Imagery","2651230")</f>
        <v>2651230</v>
      </c>
      <c r="G234" s="37" t="s">
        <v>3019</v>
      </c>
      <c r="H234" s="38">
        <v>44327</v>
      </c>
      <c r="I234" s="39">
        <v>9310000</v>
      </c>
      <c r="J234" s="40">
        <v>1.04</v>
      </c>
      <c r="K234" s="37" t="s">
        <v>1029</v>
      </c>
      <c r="L234" s="37" t="s">
        <v>4517</v>
      </c>
      <c r="M234" s="37" t="s">
        <v>4993</v>
      </c>
      <c r="N234" s="37" t="s">
        <v>4893</v>
      </c>
    </row>
    <row r="235" spans="1:14" ht="39.950000000000003" customHeight="1" x14ac:dyDescent="0.25">
      <c r="A235" s="36" t="s">
        <v>4997</v>
      </c>
      <c r="B235" s="37" t="s">
        <v>185</v>
      </c>
      <c r="C235" s="36">
        <v>9402405</v>
      </c>
      <c r="D235" s="37" t="s">
        <v>818</v>
      </c>
      <c r="E235" s="36" t="s">
        <v>4998</v>
      </c>
      <c r="F235" s="21" t="str">
        <f>HYPERLINK("https://psearch.kitsapgov.com/webappa/index.html?parcelID=1206366&amp;Theme=Imagery","1206366")</f>
        <v>1206366</v>
      </c>
      <c r="G235" s="37" t="s">
        <v>4999</v>
      </c>
      <c r="H235" s="38">
        <v>44327</v>
      </c>
      <c r="I235" s="39">
        <v>785000</v>
      </c>
      <c r="J235" s="40">
        <v>1.46</v>
      </c>
      <c r="K235" s="37" t="s">
        <v>205</v>
      </c>
      <c r="L235" s="37" t="s">
        <v>4552</v>
      </c>
      <c r="M235" s="37" t="s">
        <v>5000</v>
      </c>
      <c r="N235" s="37" t="s">
        <v>5001</v>
      </c>
    </row>
    <row r="236" spans="1:14" ht="20.100000000000001" customHeight="1" x14ac:dyDescent="0.25">
      <c r="A236" s="36" t="s">
        <v>4997</v>
      </c>
      <c r="B236" s="37" t="s">
        <v>5002</v>
      </c>
      <c r="C236" s="36">
        <v>7402405</v>
      </c>
      <c r="D236" s="37" t="s">
        <v>5003</v>
      </c>
      <c r="E236" s="36" t="s">
        <v>5004</v>
      </c>
      <c r="F236" s="21" t="str">
        <f>HYPERLINK("https://psearch.kitsapgov.com/webappa/index.html?parcelID=1206697&amp;Theme=Imagery","1206697")</f>
        <v>1206697</v>
      </c>
      <c r="G236" s="37" t="s">
        <v>3019</v>
      </c>
      <c r="H236" s="38">
        <v>44327</v>
      </c>
      <c r="I236" s="39">
        <v>785000</v>
      </c>
      <c r="J236" s="40">
        <v>0.02</v>
      </c>
      <c r="K236" s="37" t="s">
        <v>205</v>
      </c>
      <c r="L236" s="37" t="s">
        <v>4552</v>
      </c>
      <c r="M236" s="37" t="s">
        <v>5000</v>
      </c>
      <c r="N236" s="37" t="s">
        <v>5001</v>
      </c>
    </row>
    <row r="237" spans="1:14" ht="39.950000000000003" customHeight="1" x14ac:dyDescent="0.25">
      <c r="A237" s="36" t="s">
        <v>5005</v>
      </c>
      <c r="B237" s="37" t="s">
        <v>909</v>
      </c>
      <c r="C237" s="36">
        <v>8303601</v>
      </c>
      <c r="D237" s="37" t="s">
        <v>25</v>
      </c>
      <c r="E237" s="36" t="s">
        <v>4759</v>
      </c>
      <c r="F237" s="21" t="str">
        <f>HYPERLINK("https://psearch.kitsapgov.com/webappa/index.html?parcelID=2434181&amp;Theme=Imagery","2434181")</f>
        <v>2434181</v>
      </c>
      <c r="G237" s="37" t="s">
        <v>4760</v>
      </c>
      <c r="H237" s="38">
        <v>44333</v>
      </c>
      <c r="I237" s="39">
        <v>400000</v>
      </c>
      <c r="J237" s="40">
        <v>4.9800000000000004</v>
      </c>
      <c r="K237" s="37" t="s">
        <v>421</v>
      </c>
      <c r="L237" s="37" t="s">
        <v>920</v>
      </c>
      <c r="M237" s="37" t="s">
        <v>5006</v>
      </c>
      <c r="N237" s="37" t="s">
        <v>5007</v>
      </c>
    </row>
    <row r="238" spans="1:14" ht="20.100000000000001" customHeight="1" x14ac:dyDescent="0.25">
      <c r="A238" s="36" t="s">
        <v>5005</v>
      </c>
      <c r="B238" s="37" t="s">
        <v>4603</v>
      </c>
      <c r="C238" s="36">
        <v>7303604</v>
      </c>
      <c r="D238" s="37" t="s">
        <v>4763</v>
      </c>
      <c r="E238" s="36" t="s">
        <v>5008</v>
      </c>
      <c r="F238" s="21" t="str">
        <f>HYPERLINK("https://psearch.kitsapgov.com/webappa/index.html?parcelID=2629855&amp;Theme=Imagery","2629855")</f>
        <v>2629855</v>
      </c>
      <c r="G238" s="37" t="s">
        <v>3019</v>
      </c>
      <c r="H238" s="38">
        <v>44333</v>
      </c>
      <c r="I238" s="39">
        <v>400000</v>
      </c>
      <c r="J238" s="40">
        <v>0</v>
      </c>
      <c r="L238" s="37" t="s">
        <v>944</v>
      </c>
      <c r="M238" s="37" t="s">
        <v>5009</v>
      </c>
      <c r="N238" s="37" t="s">
        <v>5010</v>
      </c>
    </row>
    <row r="239" spans="1:14" ht="39.950000000000003" customHeight="1" x14ac:dyDescent="0.25">
      <c r="A239" s="36" t="s">
        <v>5011</v>
      </c>
      <c r="B239" s="37" t="s">
        <v>48</v>
      </c>
      <c r="C239" s="36">
        <v>9402390</v>
      </c>
      <c r="D239" s="37" t="s">
        <v>173</v>
      </c>
      <c r="E239" s="36" t="s">
        <v>5012</v>
      </c>
      <c r="F239" s="21" t="str">
        <f>HYPERLINK("https://psearch.kitsapgov.com/webappa/index.html?parcelID=1721406&amp;Theme=Imagery","1721406")</f>
        <v>1721406</v>
      </c>
      <c r="G239" s="37" t="s">
        <v>5013</v>
      </c>
      <c r="H239" s="38">
        <v>44327</v>
      </c>
      <c r="I239" s="39">
        <v>26500000</v>
      </c>
      <c r="J239" s="40">
        <v>5.49</v>
      </c>
      <c r="K239" s="37" t="s">
        <v>912</v>
      </c>
      <c r="L239" s="37" t="s">
        <v>4517</v>
      </c>
      <c r="M239" s="37" t="s">
        <v>5014</v>
      </c>
      <c r="N239" s="37" t="s">
        <v>5015</v>
      </c>
    </row>
    <row r="240" spans="1:14" ht="20.100000000000001" customHeight="1" x14ac:dyDescent="0.25">
      <c r="A240" s="36" t="s">
        <v>5011</v>
      </c>
      <c r="B240" s="37" t="s">
        <v>48</v>
      </c>
      <c r="C240" s="36">
        <v>9402390</v>
      </c>
      <c r="D240" s="37" t="s">
        <v>173</v>
      </c>
      <c r="E240" s="36" t="s">
        <v>5016</v>
      </c>
      <c r="F240" s="21" t="str">
        <f>HYPERLINK("https://psearch.kitsapgov.com/webappa/index.html?parcelID=2446391&amp;Theme=Imagery","2446391")</f>
        <v>2446391</v>
      </c>
      <c r="G240" s="37" t="s">
        <v>5017</v>
      </c>
      <c r="H240" s="38">
        <v>44327</v>
      </c>
      <c r="I240" s="39">
        <v>26500000</v>
      </c>
      <c r="J240" s="40">
        <v>4.72</v>
      </c>
      <c r="K240" s="37" t="s">
        <v>912</v>
      </c>
      <c r="L240" s="37" t="s">
        <v>4517</v>
      </c>
      <c r="M240" s="37" t="s">
        <v>5014</v>
      </c>
      <c r="N240" s="37" t="s">
        <v>5015</v>
      </c>
    </row>
    <row r="241" spans="1:14" ht="39.950000000000003" customHeight="1" x14ac:dyDescent="0.25">
      <c r="A241" s="36" t="s">
        <v>5018</v>
      </c>
      <c r="B241" s="37" t="s">
        <v>909</v>
      </c>
      <c r="C241" s="36">
        <v>8303601</v>
      </c>
      <c r="D241" s="37" t="s">
        <v>25</v>
      </c>
      <c r="E241" s="36" t="s">
        <v>4759</v>
      </c>
      <c r="F241" s="21" t="str">
        <f>HYPERLINK("https://psearch.kitsapgov.com/webappa/index.html?parcelID=2434181&amp;Theme=Imagery","2434181")</f>
        <v>2434181</v>
      </c>
      <c r="G241" s="37" t="s">
        <v>4760</v>
      </c>
      <c r="H241" s="38">
        <v>44337</v>
      </c>
      <c r="I241" s="39">
        <v>363000</v>
      </c>
      <c r="J241" s="40">
        <v>4.9800000000000004</v>
      </c>
      <c r="K241" s="37" t="s">
        <v>421</v>
      </c>
      <c r="L241" s="37" t="s">
        <v>944</v>
      </c>
      <c r="M241" s="37" t="s">
        <v>5019</v>
      </c>
      <c r="N241" s="37" t="s">
        <v>5020</v>
      </c>
    </row>
    <row r="242" spans="1:14" ht="20.100000000000001" customHeight="1" x14ac:dyDescent="0.25">
      <c r="A242" s="36" t="s">
        <v>5018</v>
      </c>
      <c r="B242" s="37" t="s">
        <v>4603</v>
      </c>
      <c r="C242" s="36">
        <v>7303604</v>
      </c>
      <c r="D242" s="37" t="s">
        <v>4763</v>
      </c>
      <c r="E242" s="36" t="s">
        <v>5021</v>
      </c>
      <c r="F242" s="21" t="str">
        <f>HYPERLINK("https://psearch.kitsapgov.com/webappa/index.html?parcelID=2639904&amp;Theme=Imagery","2639904")</f>
        <v>2639904</v>
      </c>
      <c r="G242" s="37" t="s">
        <v>3019</v>
      </c>
      <c r="H242" s="38">
        <v>44337</v>
      </c>
      <c r="I242" s="39">
        <v>363000</v>
      </c>
      <c r="J242" s="40">
        <v>0</v>
      </c>
      <c r="L242" s="37" t="s">
        <v>944</v>
      </c>
      <c r="M242" s="37" t="s">
        <v>5022</v>
      </c>
      <c r="N242" s="37" t="s">
        <v>5023</v>
      </c>
    </row>
    <row r="243" spans="1:14" ht="39.950000000000003" customHeight="1" x14ac:dyDescent="0.25">
      <c r="A243" s="36" t="s">
        <v>5024</v>
      </c>
      <c r="B243" s="37" t="s">
        <v>459</v>
      </c>
      <c r="C243" s="36">
        <v>8100501</v>
      </c>
      <c r="D243" s="37" t="s">
        <v>63</v>
      </c>
      <c r="E243" s="36" t="s">
        <v>5025</v>
      </c>
      <c r="F243" s="21" t="str">
        <f>HYPERLINK("https://psearch.kitsapgov.com/webappa/index.html?parcelID=1440684&amp;Theme=Imagery","1440684")</f>
        <v>1440684</v>
      </c>
      <c r="G243" s="37" t="s">
        <v>5026</v>
      </c>
      <c r="H243" s="38">
        <v>44343</v>
      </c>
      <c r="I243" s="39">
        <v>504000</v>
      </c>
      <c r="J243" s="40">
        <v>0.13</v>
      </c>
      <c r="K243" s="37" t="s">
        <v>349</v>
      </c>
      <c r="L243" s="37" t="s">
        <v>190</v>
      </c>
      <c r="M243" s="37" t="s">
        <v>5027</v>
      </c>
      <c r="N243" s="37" t="s">
        <v>5028</v>
      </c>
    </row>
    <row r="244" spans="1:14" ht="20.100000000000001" customHeight="1" x14ac:dyDescent="0.25">
      <c r="A244" s="36" t="s">
        <v>5024</v>
      </c>
      <c r="B244" s="37" t="s">
        <v>24</v>
      </c>
      <c r="C244" s="36">
        <v>8100501</v>
      </c>
      <c r="D244" s="37" t="s">
        <v>63</v>
      </c>
      <c r="E244" s="36" t="s">
        <v>5029</v>
      </c>
      <c r="F244" s="21" t="str">
        <f>HYPERLINK("https://psearch.kitsapgov.com/webappa/index.html?parcelID=1440692&amp;Theme=Imagery","1440692")</f>
        <v>1440692</v>
      </c>
      <c r="G244" s="37" t="s">
        <v>5030</v>
      </c>
      <c r="H244" s="38">
        <v>44343</v>
      </c>
      <c r="I244" s="39">
        <v>504000</v>
      </c>
      <c r="J244" s="40">
        <v>0.18</v>
      </c>
      <c r="K244" s="37" t="s">
        <v>349</v>
      </c>
      <c r="L244" s="37" t="s">
        <v>190</v>
      </c>
      <c r="M244" s="37" t="s">
        <v>5031</v>
      </c>
      <c r="N244" s="37" t="s">
        <v>5032</v>
      </c>
    </row>
    <row r="245" spans="1:14" ht="39.950000000000003" customHeight="1" x14ac:dyDescent="0.25">
      <c r="A245" s="36" t="s">
        <v>5033</v>
      </c>
      <c r="B245" s="37" t="s">
        <v>185</v>
      </c>
      <c r="C245" s="36">
        <v>9100541</v>
      </c>
      <c r="D245" s="37" t="s">
        <v>186</v>
      </c>
      <c r="E245" s="36" t="s">
        <v>5034</v>
      </c>
      <c r="F245" s="21" t="str">
        <f>HYPERLINK("https://psearch.kitsapgov.com/webappa/index.html?parcelID=2456937&amp;Theme=Imagery","2456937")</f>
        <v>2456937</v>
      </c>
      <c r="G245" s="37" t="s">
        <v>5035</v>
      </c>
      <c r="H245" s="38">
        <v>44333</v>
      </c>
      <c r="I245" s="39">
        <v>1215000</v>
      </c>
      <c r="J245" s="40">
        <v>0.09</v>
      </c>
      <c r="K245" s="37" t="s">
        <v>773</v>
      </c>
      <c r="L245" s="37" t="s">
        <v>4517</v>
      </c>
      <c r="M245" s="37" t="s">
        <v>5036</v>
      </c>
      <c r="N245" s="37" t="s">
        <v>1370</v>
      </c>
    </row>
    <row r="246" spans="1:14" ht="39.950000000000003" customHeight="1" x14ac:dyDescent="0.25">
      <c r="A246" s="36" t="s">
        <v>5037</v>
      </c>
      <c r="B246" s="37" t="s">
        <v>185</v>
      </c>
      <c r="C246" s="36">
        <v>9400204</v>
      </c>
      <c r="D246" s="37" t="s">
        <v>884</v>
      </c>
      <c r="E246" s="36" t="s">
        <v>5038</v>
      </c>
      <c r="F246" s="21" t="str">
        <f>HYPERLINK("https://psearch.kitsapgov.com/webappa/index.html?parcelID=1610013&amp;Theme=Imagery","1610013")</f>
        <v>1610013</v>
      </c>
      <c r="G246" s="37" t="s">
        <v>5039</v>
      </c>
      <c r="H246" s="38">
        <v>44371</v>
      </c>
      <c r="I246" s="39">
        <v>1680000</v>
      </c>
      <c r="J246" s="40">
        <v>0.28000000000000003</v>
      </c>
      <c r="K246" s="37" t="s">
        <v>887</v>
      </c>
      <c r="L246" s="37" t="s">
        <v>38</v>
      </c>
      <c r="M246" s="37" t="s">
        <v>2614</v>
      </c>
      <c r="N246" s="37" t="s">
        <v>5040</v>
      </c>
    </row>
    <row r="247" spans="1:14" ht="20.100000000000001" customHeight="1" x14ac:dyDescent="0.25">
      <c r="A247" s="36" t="s">
        <v>5037</v>
      </c>
      <c r="B247" s="37" t="s">
        <v>185</v>
      </c>
      <c r="C247" s="36">
        <v>9400204</v>
      </c>
      <c r="D247" s="37" t="s">
        <v>884</v>
      </c>
      <c r="E247" s="36" t="s">
        <v>5041</v>
      </c>
      <c r="F247" s="21" t="str">
        <f>HYPERLINK("https://psearch.kitsapgov.com/webappa/index.html?parcelID=1610021&amp;Theme=Imagery","1610021")</f>
        <v>1610021</v>
      </c>
      <c r="G247" s="37" t="s">
        <v>5039</v>
      </c>
      <c r="H247" s="38">
        <v>44371</v>
      </c>
      <c r="I247" s="39">
        <v>1680000</v>
      </c>
      <c r="J247" s="40">
        <v>0.18</v>
      </c>
      <c r="K247" s="37" t="s">
        <v>887</v>
      </c>
      <c r="L247" s="37" t="s">
        <v>38</v>
      </c>
      <c r="M247" s="37" t="s">
        <v>2614</v>
      </c>
      <c r="N247" s="37" t="s">
        <v>5040</v>
      </c>
    </row>
    <row r="248" spans="1:14" ht="39.950000000000003" customHeight="1" x14ac:dyDescent="0.25">
      <c r="A248" s="36" t="s">
        <v>5042</v>
      </c>
      <c r="B248" s="37" t="s">
        <v>105</v>
      </c>
      <c r="C248" s="36">
        <v>8401104</v>
      </c>
      <c r="D248" s="37" t="s">
        <v>241</v>
      </c>
      <c r="E248" s="36" t="s">
        <v>5043</v>
      </c>
      <c r="F248" s="21" t="str">
        <f>HYPERLINK("https://psearch.kitsapgov.com/webappa/index.html?parcelID=2048379&amp;Theme=Imagery","2048379")</f>
        <v>2048379</v>
      </c>
      <c r="G248" s="37" t="s">
        <v>5044</v>
      </c>
      <c r="H248" s="38">
        <v>44370</v>
      </c>
      <c r="I248" s="39">
        <v>992750</v>
      </c>
      <c r="J248" s="40">
        <v>9.69</v>
      </c>
      <c r="K248" s="37" t="s">
        <v>492</v>
      </c>
      <c r="L248" s="37" t="s">
        <v>4517</v>
      </c>
      <c r="M248" s="37" t="s">
        <v>5045</v>
      </c>
      <c r="N248" s="37" t="s">
        <v>5046</v>
      </c>
    </row>
    <row r="249" spans="1:14" ht="20.100000000000001" customHeight="1" x14ac:dyDescent="0.25">
      <c r="A249" s="36" t="s">
        <v>5042</v>
      </c>
      <c r="B249" s="37" t="s">
        <v>105</v>
      </c>
      <c r="C249" s="36">
        <v>8401104</v>
      </c>
      <c r="D249" s="37" t="s">
        <v>241</v>
      </c>
      <c r="E249" s="36" t="s">
        <v>5047</v>
      </c>
      <c r="F249" s="21" t="str">
        <f>HYPERLINK("https://psearch.kitsapgov.com/webappa/index.html?parcelID=2637809&amp;Theme=Imagery","2637809")</f>
        <v>2637809</v>
      </c>
      <c r="G249" s="37" t="s">
        <v>5048</v>
      </c>
      <c r="H249" s="38">
        <v>44370</v>
      </c>
      <c r="I249" s="39">
        <v>992750</v>
      </c>
      <c r="J249" s="40">
        <v>19.48</v>
      </c>
      <c r="K249" s="37" t="s">
        <v>492</v>
      </c>
      <c r="L249" s="37" t="s">
        <v>4517</v>
      </c>
      <c r="M249" s="37" t="s">
        <v>5045</v>
      </c>
      <c r="N249" s="37" t="s">
        <v>5046</v>
      </c>
    </row>
    <row r="250" spans="1:14" ht="39.950000000000003" customHeight="1" x14ac:dyDescent="0.25">
      <c r="A250" s="36" t="s">
        <v>5049</v>
      </c>
      <c r="B250" s="37" t="s">
        <v>105</v>
      </c>
      <c r="C250" s="36">
        <v>9400331</v>
      </c>
      <c r="D250" s="37" t="s">
        <v>5050</v>
      </c>
      <c r="E250" s="36" t="s">
        <v>5051</v>
      </c>
      <c r="F250" s="21" t="str">
        <f>HYPERLINK("https://psearch.kitsapgov.com/webappa/index.html?parcelID=2615003&amp;Theme=Imagery","2615003")</f>
        <v>2615003</v>
      </c>
      <c r="G250" s="37" t="s">
        <v>5052</v>
      </c>
      <c r="H250" s="38">
        <v>44375</v>
      </c>
      <c r="I250" s="39">
        <v>3855300</v>
      </c>
      <c r="J250" s="40">
        <v>17.95</v>
      </c>
      <c r="K250" s="37" t="s">
        <v>5053</v>
      </c>
      <c r="L250" s="37" t="s">
        <v>631</v>
      </c>
      <c r="M250" s="37" t="s">
        <v>5054</v>
      </c>
      <c r="N250" s="37" t="s">
        <v>5055</v>
      </c>
    </row>
    <row r="251" spans="1:14" ht="20.100000000000001" customHeight="1" x14ac:dyDescent="0.25">
      <c r="A251" s="36" t="s">
        <v>5049</v>
      </c>
      <c r="B251" s="37" t="s">
        <v>262</v>
      </c>
      <c r="C251" s="36">
        <v>9400304</v>
      </c>
      <c r="D251" s="37" t="s">
        <v>3017</v>
      </c>
      <c r="E251" s="36" t="s">
        <v>5056</v>
      </c>
      <c r="F251" s="21" t="str">
        <f>HYPERLINK("https://psearch.kitsapgov.com/webappa/index.html?parcelID=2615011&amp;Theme=Imagery","2615011")</f>
        <v>2615011</v>
      </c>
      <c r="G251" s="37" t="s">
        <v>5057</v>
      </c>
      <c r="H251" s="38">
        <v>44375</v>
      </c>
      <c r="I251" s="39">
        <v>3855300</v>
      </c>
      <c r="J251" s="40">
        <v>2.46</v>
      </c>
      <c r="K251" s="37" t="s">
        <v>5053</v>
      </c>
      <c r="L251" s="37" t="s">
        <v>631</v>
      </c>
      <c r="M251" s="37" t="s">
        <v>5054</v>
      </c>
      <c r="N251" s="37" t="s">
        <v>5055</v>
      </c>
    </row>
    <row r="252" spans="1:14" ht="39.950000000000003" customHeight="1" x14ac:dyDescent="0.25">
      <c r="A252" s="36" t="s">
        <v>5058</v>
      </c>
      <c r="B252" s="37" t="s">
        <v>42</v>
      </c>
      <c r="C252" s="36">
        <v>8100505</v>
      </c>
      <c r="D252" s="37" t="s">
        <v>670</v>
      </c>
      <c r="E252" s="36" t="s">
        <v>5059</v>
      </c>
      <c r="F252" s="21" t="str">
        <f>HYPERLINK("https://psearch.kitsapgov.com/webappa/index.html?parcelID=2110211&amp;Theme=Imagery","2110211")</f>
        <v>2110211</v>
      </c>
      <c r="G252" s="37" t="s">
        <v>5060</v>
      </c>
      <c r="H252" s="38">
        <v>44377</v>
      </c>
      <c r="I252" s="39">
        <v>925000</v>
      </c>
      <c r="J252" s="40">
        <v>0.88</v>
      </c>
      <c r="K252" s="37" t="s">
        <v>673</v>
      </c>
      <c r="L252" s="37" t="s">
        <v>190</v>
      </c>
      <c r="M252" s="37" t="s">
        <v>5061</v>
      </c>
      <c r="N252" s="37" t="s">
        <v>3156</v>
      </c>
    </row>
    <row r="253" spans="1:14" ht="39.950000000000003" customHeight="1" x14ac:dyDescent="0.25">
      <c r="A253" s="36" t="s">
        <v>5062</v>
      </c>
      <c r="B253" s="37" t="s">
        <v>105</v>
      </c>
      <c r="C253" s="36">
        <v>8400207</v>
      </c>
      <c r="D253" s="37" t="s">
        <v>298</v>
      </c>
      <c r="E253" s="36" t="s">
        <v>5063</v>
      </c>
      <c r="F253" s="21" t="str">
        <f>HYPERLINK("https://psearch.kitsapgov.com/webappa/index.html?parcelID=2457125&amp;Theme=Imagery","2457125")</f>
        <v>2457125</v>
      </c>
      <c r="G253" s="37" t="s">
        <v>5064</v>
      </c>
      <c r="H253" s="38">
        <v>44391</v>
      </c>
      <c r="I253" s="39">
        <v>625000</v>
      </c>
      <c r="J253" s="40">
        <v>1.2</v>
      </c>
      <c r="K253" s="37" t="s">
        <v>960</v>
      </c>
      <c r="L253" s="37" t="s">
        <v>4517</v>
      </c>
      <c r="M253" s="37" t="s">
        <v>961</v>
      </c>
      <c r="N253" s="37" t="s">
        <v>5065</v>
      </c>
    </row>
    <row r="254" spans="1:14" ht="20.100000000000001" customHeight="1" x14ac:dyDescent="0.25">
      <c r="A254" s="36" t="s">
        <v>5062</v>
      </c>
      <c r="B254" s="37" t="s">
        <v>105</v>
      </c>
      <c r="C254" s="36">
        <v>8400207</v>
      </c>
      <c r="D254" s="37" t="s">
        <v>298</v>
      </c>
      <c r="E254" s="36" t="s">
        <v>5066</v>
      </c>
      <c r="F254" s="21" t="str">
        <f>HYPERLINK("https://psearch.kitsapgov.com/webappa/index.html?parcelID=2457133&amp;Theme=Imagery","2457133")</f>
        <v>2457133</v>
      </c>
      <c r="G254" s="37" t="s">
        <v>5067</v>
      </c>
      <c r="H254" s="38">
        <v>44391</v>
      </c>
      <c r="I254" s="39">
        <v>625000</v>
      </c>
      <c r="J254" s="40">
        <v>1.2</v>
      </c>
      <c r="K254" s="37" t="s">
        <v>960</v>
      </c>
      <c r="L254" s="37" t="s">
        <v>4517</v>
      </c>
      <c r="M254" s="37" t="s">
        <v>961</v>
      </c>
      <c r="N254" s="37" t="s">
        <v>5065</v>
      </c>
    </row>
    <row r="255" spans="1:14" ht="39.950000000000003" customHeight="1" x14ac:dyDescent="0.25">
      <c r="A255" s="36" t="s">
        <v>5068</v>
      </c>
      <c r="B255" s="37" t="s">
        <v>48</v>
      </c>
      <c r="C255" s="36">
        <v>9402390</v>
      </c>
      <c r="D255" s="37" t="s">
        <v>173</v>
      </c>
      <c r="E255" s="36" t="s">
        <v>5069</v>
      </c>
      <c r="F255" s="21" t="str">
        <f>HYPERLINK("https://psearch.kitsapgov.com/webappa/index.html?parcelID=2175115&amp;Theme=Imagery","2175115")</f>
        <v>2175115</v>
      </c>
      <c r="G255" s="37" t="s">
        <v>5070</v>
      </c>
      <c r="H255" s="38">
        <v>44384</v>
      </c>
      <c r="I255" s="39">
        <v>75200000</v>
      </c>
      <c r="J255" s="40">
        <v>12.49</v>
      </c>
      <c r="K255" s="37" t="s">
        <v>874</v>
      </c>
      <c r="L255" s="37" t="s">
        <v>38</v>
      </c>
      <c r="M255" s="37" t="s">
        <v>5071</v>
      </c>
      <c r="N255" s="37" t="s">
        <v>5072</v>
      </c>
    </row>
    <row r="256" spans="1:14" ht="20.100000000000001" customHeight="1" x14ac:dyDescent="0.25">
      <c r="A256" s="36" t="s">
        <v>5068</v>
      </c>
      <c r="B256" s="37" t="s">
        <v>48</v>
      </c>
      <c r="C256" s="36">
        <v>9402390</v>
      </c>
      <c r="D256" s="37" t="s">
        <v>173</v>
      </c>
      <c r="E256" s="36" t="s">
        <v>5073</v>
      </c>
      <c r="F256" s="21" t="str">
        <f>HYPERLINK("https://psearch.kitsapgov.com/webappa/index.html?parcelID=2175123&amp;Theme=Imagery","2175123")</f>
        <v>2175123</v>
      </c>
      <c r="G256" s="37" t="s">
        <v>5074</v>
      </c>
      <c r="H256" s="38">
        <v>44384</v>
      </c>
      <c r="I256" s="39">
        <v>75200000</v>
      </c>
      <c r="J256" s="40">
        <v>6.04</v>
      </c>
      <c r="K256" s="37" t="s">
        <v>874</v>
      </c>
      <c r="L256" s="37" t="s">
        <v>38</v>
      </c>
      <c r="M256" s="37" t="s">
        <v>5071</v>
      </c>
      <c r="N256" s="37" t="s">
        <v>5072</v>
      </c>
    </row>
    <row r="257" spans="1:14" ht="39.950000000000003" customHeight="1" x14ac:dyDescent="0.25">
      <c r="A257" s="36" t="s">
        <v>5075</v>
      </c>
      <c r="B257" s="37" t="s">
        <v>48</v>
      </c>
      <c r="C257" s="36">
        <v>9100542</v>
      </c>
      <c r="D257" s="37" t="s">
        <v>360</v>
      </c>
      <c r="E257" s="36" t="s">
        <v>5076</v>
      </c>
      <c r="F257" s="21" t="str">
        <f>HYPERLINK("https://psearch.kitsapgov.com/webappa/index.html?parcelID=2082782&amp;Theme=Imagery","2082782")</f>
        <v>2082782</v>
      </c>
      <c r="G257" s="37" t="s">
        <v>5077</v>
      </c>
      <c r="H257" s="38">
        <v>44406</v>
      </c>
      <c r="I257" s="39">
        <v>44500000</v>
      </c>
      <c r="J257" s="40">
        <v>21.68</v>
      </c>
      <c r="K257" s="37" t="s">
        <v>5078</v>
      </c>
      <c r="L257" s="37" t="s">
        <v>190</v>
      </c>
      <c r="M257" s="37" t="s">
        <v>5079</v>
      </c>
      <c r="N257" s="37" t="s">
        <v>5080</v>
      </c>
    </row>
    <row r="258" spans="1:14" ht="20.100000000000001" customHeight="1" x14ac:dyDescent="0.25">
      <c r="A258" s="36" t="s">
        <v>5075</v>
      </c>
      <c r="B258" s="37" t="s">
        <v>48</v>
      </c>
      <c r="C258" s="36">
        <v>9100542</v>
      </c>
      <c r="D258" s="37" t="s">
        <v>360</v>
      </c>
      <c r="E258" s="36" t="s">
        <v>5081</v>
      </c>
      <c r="F258" s="21" t="str">
        <f>HYPERLINK("https://psearch.kitsapgov.com/webappa/index.html?parcelID=2442291&amp;Theme=Imagery","2442291")</f>
        <v>2442291</v>
      </c>
      <c r="G258" s="37" t="s">
        <v>5082</v>
      </c>
      <c r="H258" s="38">
        <v>44406</v>
      </c>
      <c r="I258" s="39">
        <v>44500000</v>
      </c>
      <c r="J258" s="40">
        <v>0.03</v>
      </c>
      <c r="K258" s="37" t="s">
        <v>168</v>
      </c>
      <c r="L258" s="37" t="s">
        <v>190</v>
      </c>
      <c r="M258" s="37" t="s">
        <v>5079</v>
      </c>
      <c r="N258" s="37" t="s">
        <v>5080</v>
      </c>
    </row>
    <row r="259" spans="1:14" ht="39.950000000000003" customHeight="1" x14ac:dyDescent="0.25">
      <c r="A259" s="36" t="s">
        <v>5083</v>
      </c>
      <c r="B259" s="37" t="s">
        <v>3224</v>
      </c>
      <c r="C259" s="36">
        <v>8303601</v>
      </c>
      <c r="D259" s="37" t="s">
        <v>25</v>
      </c>
      <c r="E259" s="36" t="s">
        <v>5084</v>
      </c>
      <c r="F259" s="21" t="str">
        <f>HYPERLINK("https://psearch.kitsapgov.com/webappa/index.html?parcelID=2433779&amp;Theme=Imagery","2433779")</f>
        <v>2433779</v>
      </c>
      <c r="G259" s="37" t="s">
        <v>5085</v>
      </c>
      <c r="H259" s="38">
        <v>44403</v>
      </c>
      <c r="I259" s="39">
        <v>200000</v>
      </c>
      <c r="J259" s="40">
        <v>0</v>
      </c>
      <c r="L259" s="37" t="s">
        <v>4517</v>
      </c>
      <c r="M259" s="37" t="s">
        <v>5086</v>
      </c>
      <c r="N259" s="37" t="s">
        <v>5087</v>
      </c>
    </row>
    <row r="260" spans="1:14" ht="20.100000000000001" customHeight="1" x14ac:dyDescent="0.25">
      <c r="A260" s="36" t="s">
        <v>5083</v>
      </c>
      <c r="B260" s="37" t="s">
        <v>3224</v>
      </c>
      <c r="C260" s="36">
        <v>8303601</v>
      </c>
      <c r="D260" s="37" t="s">
        <v>25</v>
      </c>
      <c r="E260" s="36" t="s">
        <v>5088</v>
      </c>
      <c r="F260" s="21" t="str">
        <f>HYPERLINK("https://psearch.kitsapgov.com/webappa/index.html?parcelID=2433787&amp;Theme=Imagery","2433787")</f>
        <v>2433787</v>
      </c>
      <c r="G260" s="37" t="s">
        <v>5089</v>
      </c>
      <c r="H260" s="38">
        <v>44403</v>
      </c>
      <c r="I260" s="39">
        <v>200000</v>
      </c>
      <c r="J260" s="40">
        <v>0</v>
      </c>
      <c r="L260" s="37" t="s">
        <v>4517</v>
      </c>
      <c r="M260" s="37" t="s">
        <v>5086</v>
      </c>
      <c r="N260" s="37" t="s">
        <v>5087</v>
      </c>
    </row>
    <row r="261" spans="1:14" ht="39.950000000000003" customHeight="1" x14ac:dyDescent="0.25">
      <c r="A261" s="36" t="s">
        <v>5090</v>
      </c>
      <c r="B261" s="37" t="s">
        <v>202</v>
      </c>
      <c r="C261" s="36">
        <v>9402390</v>
      </c>
      <c r="D261" s="37" t="s">
        <v>173</v>
      </c>
      <c r="E261" s="36" t="s">
        <v>5091</v>
      </c>
      <c r="F261" s="21" t="str">
        <f>HYPERLINK("https://psearch.kitsapgov.com/webappa/index.html?parcelID=1036334&amp;Theme=Imagery","1036334")</f>
        <v>1036334</v>
      </c>
      <c r="G261" s="37" t="s">
        <v>5092</v>
      </c>
      <c r="H261" s="38">
        <v>44395</v>
      </c>
      <c r="I261" s="39">
        <v>1000</v>
      </c>
      <c r="J261" s="40">
        <v>4.96</v>
      </c>
      <c r="K261" s="37" t="s">
        <v>176</v>
      </c>
      <c r="L261" s="37" t="s">
        <v>631</v>
      </c>
      <c r="M261" s="37" t="s">
        <v>5093</v>
      </c>
      <c r="N261" s="37" t="s">
        <v>2333</v>
      </c>
    </row>
    <row r="262" spans="1:14" ht="20.100000000000001" customHeight="1" x14ac:dyDescent="0.25">
      <c r="A262" s="36" t="s">
        <v>5090</v>
      </c>
      <c r="B262" s="37" t="s">
        <v>202</v>
      </c>
      <c r="C262" s="36">
        <v>9402390</v>
      </c>
      <c r="D262" s="37" t="s">
        <v>173</v>
      </c>
      <c r="E262" s="36" t="s">
        <v>5094</v>
      </c>
      <c r="F262" s="21" t="str">
        <f>HYPERLINK("https://psearch.kitsapgov.com/webappa/index.html?parcelID=1036888&amp;Theme=Imagery","1036888")</f>
        <v>1036888</v>
      </c>
      <c r="G262" s="37" t="s">
        <v>5095</v>
      </c>
      <c r="H262" s="38">
        <v>44395</v>
      </c>
      <c r="I262" s="39">
        <v>1000</v>
      </c>
      <c r="J262" s="40">
        <v>2.65</v>
      </c>
      <c r="K262" s="37" t="s">
        <v>176</v>
      </c>
      <c r="L262" s="37" t="s">
        <v>631</v>
      </c>
      <c r="M262" s="37" t="s">
        <v>5093</v>
      </c>
      <c r="N262" s="37" t="s">
        <v>2333</v>
      </c>
    </row>
    <row r="263" spans="1:14" ht="39.950000000000003" customHeight="1" x14ac:dyDescent="0.25">
      <c r="A263" s="36" t="s">
        <v>5096</v>
      </c>
      <c r="B263" s="37" t="s">
        <v>909</v>
      </c>
      <c r="C263" s="36">
        <v>8303601</v>
      </c>
      <c r="D263" s="37" t="s">
        <v>25</v>
      </c>
      <c r="E263" s="36" t="s">
        <v>4759</v>
      </c>
      <c r="F263" s="21" t="str">
        <f>HYPERLINK("https://psearch.kitsapgov.com/webappa/index.html?parcelID=2434181&amp;Theme=Imagery","2434181")</f>
        <v>2434181</v>
      </c>
      <c r="G263" s="37" t="s">
        <v>4760</v>
      </c>
      <c r="H263" s="38">
        <v>44419</v>
      </c>
      <c r="I263" s="39">
        <v>285000</v>
      </c>
      <c r="J263" s="40">
        <v>4.9800000000000004</v>
      </c>
      <c r="K263" s="37" t="s">
        <v>421</v>
      </c>
      <c r="L263" s="37" t="s">
        <v>944</v>
      </c>
      <c r="M263" s="37" t="s">
        <v>5097</v>
      </c>
      <c r="N263" s="37" t="s">
        <v>5098</v>
      </c>
    </row>
    <row r="264" spans="1:14" ht="20.100000000000001" customHeight="1" x14ac:dyDescent="0.25">
      <c r="A264" s="36" t="s">
        <v>5096</v>
      </c>
      <c r="B264" s="37" t="s">
        <v>4603</v>
      </c>
      <c r="C264" s="36">
        <v>7303604</v>
      </c>
      <c r="D264" s="37" t="s">
        <v>4763</v>
      </c>
      <c r="E264" s="36" t="s">
        <v>5099</v>
      </c>
      <c r="F264" s="21" t="str">
        <f>HYPERLINK("https://psearch.kitsapgov.com/webappa/index.html?parcelID=1887389&amp;Theme=Imagery","1887389")</f>
        <v>1887389</v>
      </c>
      <c r="G264" s="37" t="s">
        <v>3019</v>
      </c>
      <c r="H264" s="38">
        <v>44419</v>
      </c>
      <c r="I264" s="39">
        <v>285000</v>
      </c>
      <c r="J264" s="40">
        <v>0</v>
      </c>
      <c r="L264" s="37" t="s">
        <v>944</v>
      </c>
      <c r="M264" s="37" t="s">
        <v>5100</v>
      </c>
      <c r="N264" s="37" t="s">
        <v>5101</v>
      </c>
    </row>
    <row r="265" spans="1:14" ht="39.950000000000003" customHeight="1" x14ac:dyDescent="0.25">
      <c r="A265" s="36" t="s">
        <v>5102</v>
      </c>
      <c r="B265" s="37" t="s">
        <v>70</v>
      </c>
      <c r="C265" s="36">
        <v>8401104</v>
      </c>
      <c r="D265" s="37" t="s">
        <v>241</v>
      </c>
      <c r="E265" s="36" t="s">
        <v>4768</v>
      </c>
      <c r="F265" s="21" t="str">
        <f>HYPERLINK("https://psearch.kitsapgov.com/webappa/index.html?parcelID=2068336&amp;Theme=Imagery","2068336")</f>
        <v>2068336</v>
      </c>
      <c r="G265" s="37" t="s">
        <v>4769</v>
      </c>
      <c r="H265" s="38">
        <v>44428</v>
      </c>
      <c r="I265" s="39">
        <v>710000</v>
      </c>
      <c r="J265" s="40">
        <v>0.62</v>
      </c>
      <c r="K265" s="37" t="s">
        <v>492</v>
      </c>
      <c r="L265" s="37" t="s">
        <v>4552</v>
      </c>
      <c r="M265" s="37" t="s">
        <v>4771</v>
      </c>
      <c r="N265" s="37" t="s">
        <v>5103</v>
      </c>
    </row>
    <row r="266" spans="1:14" ht="20.100000000000001" customHeight="1" x14ac:dyDescent="0.25">
      <c r="A266" s="36" t="s">
        <v>5102</v>
      </c>
      <c r="B266" s="37" t="s">
        <v>105</v>
      </c>
      <c r="C266" s="36">
        <v>8401104</v>
      </c>
      <c r="D266" s="37" t="s">
        <v>241</v>
      </c>
      <c r="E266" s="36" t="s">
        <v>4772</v>
      </c>
      <c r="F266" s="21" t="str">
        <f>HYPERLINK("https://psearch.kitsapgov.com/webappa/index.html?parcelID=2193704&amp;Theme=Imagery","2193704")</f>
        <v>2193704</v>
      </c>
      <c r="G266" s="37" t="s">
        <v>4773</v>
      </c>
      <c r="H266" s="38">
        <v>44428</v>
      </c>
      <c r="I266" s="39">
        <v>710000</v>
      </c>
      <c r="J266" s="40">
        <v>0.04</v>
      </c>
      <c r="K266" s="37" t="s">
        <v>492</v>
      </c>
      <c r="L266" s="37" t="s">
        <v>4552</v>
      </c>
      <c r="M266" s="37" t="s">
        <v>4771</v>
      </c>
      <c r="N266" s="37" t="s">
        <v>5103</v>
      </c>
    </row>
    <row r="267" spans="1:14" ht="39.950000000000003" customHeight="1" x14ac:dyDescent="0.25">
      <c r="A267" s="36" t="s">
        <v>5104</v>
      </c>
      <c r="B267" s="37" t="s">
        <v>105</v>
      </c>
      <c r="C267" s="36">
        <v>7402390</v>
      </c>
      <c r="D267" s="37" t="s">
        <v>4527</v>
      </c>
      <c r="E267" s="36" t="s">
        <v>5105</v>
      </c>
      <c r="F267" s="21" t="str">
        <f>HYPERLINK("https://psearch.kitsapgov.com/webappa/index.html?parcelID=1512896&amp;Theme=Imagery","1512896")</f>
        <v>1512896</v>
      </c>
      <c r="G267" s="37" t="s">
        <v>3019</v>
      </c>
      <c r="H267" s="38">
        <v>44436</v>
      </c>
      <c r="I267" s="39">
        <v>290000</v>
      </c>
      <c r="J267" s="40">
        <v>0.36</v>
      </c>
      <c r="K267" s="37" t="s">
        <v>4673</v>
      </c>
      <c r="L267" s="37" t="s">
        <v>4517</v>
      </c>
      <c r="M267" s="37" t="s">
        <v>5106</v>
      </c>
      <c r="N267" s="37" t="s">
        <v>5107</v>
      </c>
    </row>
    <row r="268" spans="1:14" ht="20.100000000000001" customHeight="1" x14ac:dyDescent="0.25">
      <c r="A268" s="36" t="s">
        <v>5104</v>
      </c>
      <c r="B268" s="37" t="s">
        <v>105</v>
      </c>
      <c r="C268" s="36">
        <v>7402390</v>
      </c>
      <c r="D268" s="37" t="s">
        <v>4527</v>
      </c>
      <c r="E268" s="36" t="s">
        <v>5108</v>
      </c>
      <c r="F268" s="21" t="str">
        <f>HYPERLINK("https://psearch.kitsapgov.com/webappa/index.html?parcelID=1512904&amp;Theme=Imagery","1512904")</f>
        <v>1512904</v>
      </c>
      <c r="G268" s="37" t="s">
        <v>3019</v>
      </c>
      <c r="H268" s="38">
        <v>44436</v>
      </c>
      <c r="I268" s="39">
        <v>290000</v>
      </c>
      <c r="J268" s="40">
        <v>0.14000000000000001</v>
      </c>
      <c r="K268" s="37" t="s">
        <v>4673</v>
      </c>
      <c r="L268" s="37" t="s">
        <v>4517</v>
      </c>
      <c r="M268" s="37" t="s">
        <v>5106</v>
      </c>
      <c r="N268" s="37" t="s">
        <v>5107</v>
      </c>
    </row>
    <row r="269" spans="1:14" ht="20.100000000000001" customHeight="1" x14ac:dyDescent="0.25">
      <c r="A269" s="36" t="s">
        <v>5104</v>
      </c>
      <c r="B269" s="37" t="s">
        <v>105</v>
      </c>
      <c r="C269" s="36">
        <v>8402307</v>
      </c>
      <c r="D269" s="37" t="s">
        <v>131</v>
      </c>
      <c r="E269" s="36" t="s">
        <v>5109</v>
      </c>
      <c r="F269" s="21" t="str">
        <f>HYPERLINK("https://psearch.kitsapgov.com/webappa/index.html?parcelID=2662120&amp;Theme=Imagery","2662120")</f>
        <v>2662120</v>
      </c>
      <c r="G269" s="37" t="s">
        <v>5110</v>
      </c>
      <c r="H269" s="38">
        <v>44436</v>
      </c>
      <c r="I269" s="39">
        <v>290000</v>
      </c>
      <c r="J269" s="40">
        <v>1.61</v>
      </c>
      <c r="K269" s="37" t="s">
        <v>515</v>
      </c>
      <c r="L269" s="37" t="s">
        <v>4517</v>
      </c>
      <c r="M269" s="37" t="s">
        <v>1706</v>
      </c>
      <c r="N269" s="37" t="s">
        <v>5111</v>
      </c>
    </row>
    <row r="270" spans="1:14" ht="20.100000000000001" customHeight="1" x14ac:dyDescent="0.25">
      <c r="A270" s="36" t="s">
        <v>5104</v>
      </c>
      <c r="B270" s="37" t="s">
        <v>105</v>
      </c>
      <c r="C270" s="36">
        <v>8402307</v>
      </c>
      <c r="D270" s="37" t="s">
        <v>131</v>
      </c>
      <c r="E270" s="36" t="s">
        <v>5112</v>
      </c>
      <c r="F270" s="21" t="str">
        <f>HYPERLINK("https://psearch.kitsapgov.com/webappa/index.html?parcelID=2662138&amp;Theme=Imagery","2662138")</f>
        <v>2662138</v>
      </c>
      <c r="G270" s="37" t="s">
        <v>5110</v>
      </c>
      <c r="H270" s="38">
        <v>44436</v>
      </c>
      <c r="I270" s="39">
        <v>290000</v>
      </c>
      <c r="J270" s="40">
        <v>0.09</v>
      </c>
      <c r="K270" s="37" t="s">
        <v>515</v>
      </c>
      <c r="L270" s="37" t="s">
        <v>4517</v>
      </c>
      <c r="M270" s="37" t="s">
        <v>1706</v>
      </c>
      <c r="N270" s="37" t="s">
        <v>5111</v>
      </c>
    </row>
    <row r="271" spans="1:14" ht="20.100000000000001" customHeight="1" x14ac:dyDescent="0.25">
      <c r="A271" s="36" t="s">
        <v>5104</v>
      </c>
      <c r="B271" s="37" t="s">
        <v>105</v>
      </c>
      <c r="C271" s="36">
        <v>8402307</v>
      </c>
      <c r="D271" s="37" t="s">
        <v>131</v>
      </c>
      <c r="E271" s="36" t="s">
        <v>5113</v>
      </c>
      <c r="F271" s="21" t="str">
        <f>HYPERLINK("https://psearch.kitsapgov.com/webappa/index.html?parcelID=2662146&amp;Theme=Imagery","2662146")</f>
        <v>2662146</v>
      </c>
      <c r="G271" s="37" t="s">
        <v>1705</v>
      </c>
      <c r="H271" s="38">
        <v>44436</v>
      </c>
      <c r="I271" s="39">
        <v>290000</v>
      </c>
      <c r="J271" s="40">
        <v>0.18</v>
      </c>
      <c r="K271" s="37" t="s">
        <v>515</v>
      </c>
      <c r="L271" s="37" t="s">
        <v>4517</v>
      </c>
      <c r="M271" s="37" t="s">
        <v>1706</v>
      </c>
      <c r="N271" s="37" t="s">
        <v>5111</v>
      </c>
    </row>
    <row r="272" spans="1:14" ht="20.100000000000001" customHeight="1" x14ac:dyDescent="0.25">
      <c r="A272" s="36" t="s">
        <v>5104</v>
      </c>
      <c r="B272" s="37" t="s">
        <v>105</v>
      </c>
      <c r="C272" s="36">
        <v>8402307</v>
      </c>
      <c r="D272" s="37" t="s">
        <v>131</v>
      </c>
      <c r="E272" s="36" t="s">
        <v>5114</v>
      </c>
      <c r="F272" s="21" t="str">
        <f>HYPERLINK("https://psearch.kitsapgov.com/webappa/index.html?parcelID=2662153&amp;Theme=Imagery","2662153")</f>
        <v>2662153</v>
      </c>
      <c r="G272" s="37" t="s">
        <v>1705</v>
      </c>
      <c r="H272" s="38">
        <v>44436</v>
      </c>
      <c r="I272" s="39">
        <v>290000</v>
      </c>
      <c r="J272" s="40">
        <v>0.19</v>
      </c>
      <c r="K272" s="37" t="s">
        <v>515</v>
      </c>
      <c r="L272" s="37" t="s">
        <v>4517</v>
      </c>
      <c r="M272" s="37" t="s">
        <v>1706</v>
      </c>
      <c r="N272" s="37" t="s">
        <v>5111</v>
      </c>
    </row>
    <row r="273" spans="1:14" ht="20.100000000000001" customHeight="1" x14ac:dyDescent="0.25">
      <c r="A273" s="36" t="s">
        <v>5104</v>
      </c>
      <c r="B273" s="37" t="s">
        <v>105</v>
      </c>
      <c r="C273" s="36">
        <v>8402307</v>
      </c>
      <c r="D273" s="37" t="s">
        <v>131</v>
      </c>
      <c r="E273" s="36" t="s">
        <v>5115</v>
      </c>
      <c r="F273" s="21" t="str">
        <f>HYPERLINK("https://psearch.kitsapgov.com/webappa/index.html?parcelID=2662161&amp;Theme=Imagery","2662161")</f>
        <v>2662161</v>
      </c>
      <c r="G273" s="37" t="s">
        <v>1705</v>
      </c>
      <c r="H273" s="38">
        <v>44436</v>
      </c>
      <c r="I273" s="39">
        <v>290000</v>
      </c>
      <c r="J273" s="40">
        <v>0.19</v>
      </c>
      <c r="K273" s="37" t="s">
        <v>515</v>
      </c>
      <c r="L273" s="37" t="s">
        <v>4517</v>
      </c>
      <c r="M273" s="37" t="s">
        <v>1706</v>
      </c>
      <c r="N273" s="37" t="s">
        <v>5111</v>
      </c>
    </row>
    <row r="274" spans="1:14" ht="20.100000000000001" customHeight="1" x14ac:dyDescent="0.25">
      <c r="A274" s="36" t="s">
        <v>5104</v>
      </c>
      <c r="B274" s="37" t="s">
        <v>105</v>
      </c>
      <c r="C274" s="36">
        <v>8402307</v>
      </c>
      <c r="D274" s="37" t="s">
        <v>131</v>
      </c>
      <c r="E274" s="36" t="s">
        <v>5116</v>
      </c>
      <c r="F274" s="21" t="str">
        <f>HYPERLINK("https://psearch.kitsapgov.com/webappa/index.html?parcelID=2662179&amp;Theme=Imagery","2662179")</f>
        <v>2662179</v>
      </c>
      <c r="G274" s="37" t="s">
        <v>1705</v>
      </c>
      <c r="H274" s="38">
        <v>44436</v>
      </c>
      <c r="I274" s="39">
        <v>290000</v>
      </c>
      <c r="J274" s="40">
        <v>0.25</v>
      </c>
      <c r="K274" s="37" t="s">
        <v>515</v>
      </c>
      <c r="L274" s="37" t="s">
        <v>4517</v>
      </c>
      <c r="M274" s="37" t="s">
        <v>1706</v>
      </c>
      <c r="N274" s="37" t="s">
        <v>5111</v>
      </c>
    </row>
    <row r="275" spans="1:14" ht="20.100000000000001" customHeight="1" x14ac:dyDescent="0.25">
      <c r="A275" s="36" t="s">
        <v>5104</v>
      </c>
      <c r="B275" s="37" t="s">
        <v>105</v>
      </c>
      <c r="C275" s="36">
        <v>8402307</v>
      </c>
      <c r="D275" s="37" t="s">
        <v>131</v>
      </c>
      <c r="E275" s="36" t="s">
        <v>5117</v>
      </c>
      <c r="F275" s="21" t="str">
        <f>HYPERLINK("https://psearch.kitsapgov.com/webappa/index.html?parcelID=2662187&amp;Theme=Imagery","2662187")</f>
        <v>2662187</v>
      </c>
      <c r="G275" s="37" t="s">
        <v>5118</v>
      </c>
      <c r="H275" s="38">
        <v>44436</v>
      </c>
      <c r="I275" s="39">
        <v>290000</v>
      </c>
      <c r="J275" s="40">
        <v>0.27</v>
      </c>
      <c r="K275" s="37" t="s">
        <v>515</v>
      </c>
      <c r="L275" s="37" t="s">
        <v>4517</v>
      </c>
      <c r="M275" s="37" t="s">
        <v>5106</v>
      </c>
      <c r="N275" s="37" t="s">
        <v>5107</v>
      </c>
    </row>
    <row r="276" spans="1:14" ht="39.950000000000003" customHeight="1" x14ac:dyDescent="0.25">
      <c r="A276" s="36" t="s">
        <v>5119</v>
      </c>
      <c r="B276" s="37" t="s">
        <v>834</v>
      </c>
      <c r="C276" s="36">
        <v>8401104</v>
      </c>
      <c r="D276" s="37" t="s">
        <v>241</v>
      </c>
      <c r="E276" s="36" t="s">
        <v>5120</v>
      </c>
      <c r="F276" s="21" t="str">
        <f>HYPERLINK("https://psearch.kitsapgov.com/webappa/index.html?parcelID=2171007&amp;Theme=Imagery","2171007")</f>
        <v>2171007</v>
      </c>
      <c r="G276" s="37" t="s">
        <v>5121</v>
      </c>
      <c r="H276" s="38">
        <v>44447</v>
      </c>
      <c r="I276" s="39">
        <v>1450000</v>
      </c>
      <c r="J276" s="40">
        <v>1.23</v>
      </c>
      <c r="K276" s="37" t="s">
        <v>492</v>
      </c>
      <c r="L276" s="37" t="s">
        <v>4517</v>
      </c>
      <c r="M276" s="37" t="s">
        <v>102</v>
      </c>
      <c r="N276" s="37" t="s">
        <v>5122</v>
      </c>
    </row>
    <row r="277" spans="1:14" ht="20.100000000000001" customHeight="1" x14ac:dyDescent="0.25">
      <c r="A277" s="36" t="s">
        <v>5119</v>
      </c>
      <c r="B277" s="37" t="s">
        <v>834</v>
      </c>
      <c r="C277" s="36">
        <v>8401104</v>
      </c>
      <c r="D277" s="37" t="s">
        <v>241</v>
      </c>
      <c r="E277" s="36" t="s">
        <v>5123</v>
      </c>
      <c r="F277" s="21" t="str">
        <f>HYPERLINK("https://psearch.kitsapgov.com/webappa/index.html?parcelID=2171015&amp;Theme=Imagery","2171015")</f>
        <v>2171015</v>
      </c>
      <c r="G277" s="37" t="s">
        <v>5124</v>
      </c>
      <c r="H277" s="38">
        <v>44447</v>
      </c>
      <c r="I277" s="39">
        <v>1450000</v>
      </c>
      <c r="J277" s="40">
        <v>1.1200000000000001</v>
      </c>
      <c r="K277" s="37" t="s">
        <v>492</v>
      </c>
      <c r="L277" s="37" t="s">
        <v>4517</v>
      </c>
      <c r="M277" s="37" t="s">
        <v>102</v>
      </c>
      <c r="N277" s="37" t="s">
        <v>5122</v>
      </c>
    </row>
    <row r="278" spans="1:14" ht="39.950000000000003" customHeight="1" x14ac:dyDescent="0.25">
      <c r="A278" s="36" t="s">
        <v>5125</v>
      </c>
      <c r="B278" s="37" t="s">
        <v>130</v>
      </c>
      <c r="C278" s="36">
        <v>8401104</v>
      </c>
      <c r="D278" s="37" t="s">
        <v>241</v>
      </c>
      <c r="E278" s="36" t="s">
        <v>5126</v>
      </c>
      <c r="F278" s="21" t="str">
        <f>HYPERLINK("https://psearch.kitsapgov.com/webappa/index.html?parcelID=2079325&amp;Theme=Imagery","2079325")</f>
        <v>2079325</v>
      </c>
      <c r="G278" s="37" t="s">
        <v>5127</v>
      </c>
      <c r="H278" s="38">
        <v>44460</v>
      </c>
      <c r="I278" s="39">
        <v>2550000</v>
      </c>
      <c r="J278" s="40">
        <v>0.89</v>
      </c>
      <c r="K278" s="37" t="s">
        <v>82</v>
      </c>
      <c r="L278" s="37" t="s">
        <v>38</v>
      </c>
      <c r="M278" s="37" t="s">
        <v>5128</v>
      </c>
      <c r="N278" s="37" t="s">
        <v>5129</v>
      </c>
    </row>
    <row r="279" spans="1:14" ht="20.100000000000001" customHeight="1" x14ac:dyDescent="0.25">
      <c r="A279" s="36" t="s">
        <v>5125</v>
      </c>
      <c r="B279" s="37" t="s">
        <v>5002</v>
      </c>
      <c r="C279" s="36">
        <v>9401118</v>
      </c>
      <c r="D279" s="37" t="s">
        <v>4619</v>
      </c>
      <c r="E279" s="36" t="s">
        <v>5130</v>
      </c>
      <c r="F279" s="21" t="str">
        <f>HYPERLINK("https://psearch.kitsapgov.com/webappa/index.html?parcelID=2349876&amp;Theme=Imagery","2349876")</f>
        <v>2349876</v>
      </c>
      <c r="G279" s="37" t="s">
        <v>5131</v>
      </c>
      <c r="H279" s="38">
        <v>44460</v>
      </c>
      <c r="I279" s="39">
        <v>2550000</v>
      </c>
      <c r="J279" s="40">
        <v>0.09</v>
      </c>
      <c r="K279" s="37" t="s">
        <v>205</v>
      </c>
      <c r="L279" s="37" t="s">
        <v>38</v>
      </c>
      <c r="M279" s="37" t="s">
        <v>5128</v>
      </c>
      <c r="N279" s="37" t="s">
        <v>5129</v>
      </c>
    </row>
    <row r="280" spans="1:14" ht="39.950000000000003" customHeight="1" x14ac:dyDescent="0.25">
      <c r="A280" s="36" t="s">
        <v>5132</v>
      </c>
      <c r="B280" s="37" t="s">
        <v>1948</v>
      </c>
      <c r="C280" s="36">
        <v>8401102</v>
      </c>
      <c r="D280" s="37" t="s">
        <v>17</v>
      </c>
      <c r="E280" s="36" t="s">
        <v>5133</v>
      </c>
      <c r="F280" s="21" t="str">
        <f>HYPERLINK("https://psearch.kitsapgov.com/webappa/index.html?parcelID=1246297&amp;Theme=Imagery","1246297")</f>
        <v>1246297</v>
      </c>
      <c r="G280" s="37" t="s">
        <v>5134</v>
      </c>
      <c r="H280" s="38">
        <v>44469</v>
      </c>
      <c r="I280" s="39">
        <v>9950000</v>
      </c>
      <c r="J280" s="40">
        <v>4.6900000000000004</v>
      </c>
      <c r="K280" s="37" t="s">
        <v>308</v>
      </c>
      <c r="L280" s="37" t="s">
        <v>4517</v>
      </c>
      <c r="M280" s="37" t="s">
        <v>5135</v>
      </c>
      <c r="N280" s="37" t="s">
        <v>5136</v>
      </c>
    </row>
    <row r="281" spans="1:14" ht="20.100000000000001" customHeight="1" x14ac:dyDescent="0.25">
      <c r="A281" s="36" t="s">
        <v>5132</v>
      </c>
      <c r="B281" s="37" t="s">
        <v>105</v>
      </c>
      <c r="C281" s="36">
        <v>8401102</v>
      </c>
      <c r="D281" s="37" t="s">
        <v>17</v>
      </c>
      <c r="E281" s="36" t="s">
        <v>5137</v>
      </c>
      <c r="F281" s="21" t="str">
        <f>HYPERLINK("https://psearch.kitsapgov.com/webappa/index.html?parcelID=1659499&amp;Theme=Imagery","1659499")</f>
        <v>1659499</v>
      </c>
      <c r="G281" s="37" t="s">
        <v>5138</v>
      </c>
      <c r="H281" s="38">
        <v>44469</v>
      </c>
      <c r="I281" s="39">
        <v>9950000</v>
      </c>
      <c r="J281" s="40">
        <v>0.45</v>
      </c>
      <c r="K281" s="37" t="s">
        <v>308</v>
      </c>
      <c r="L281" s="37" t="s">
        <v>4517</v>
      </c>
      <c r="M281" s="37" t="s">
        <v>5135</v>
      </c>
      <c r="N281" s="37" t="s">
        <v>5136</v>
      </c>
    </row>
    <row r="282" spans="1:14" ht="20.100000000000001" customHeight="1" x14ac:dyDescent="0.25">
      <c r="A282" s="36" t="s">
        <v>5132</v>
      </c>
      <c r="B282" s="37" t="s">
        <v>105</v>
      </c>
      <c r="C282" s="36">
        <v>8401102</v>
      </c>
      <c r="D282" s="37" t="s">
        <v>17</v>
      </c>
      <c r="E282" s="36" t="s">
        <v>5139</v>
      </c>
      <c r="F282" s="21" t="str">
        <f>HYPERLINK("https://psearch.kitsapgov.com/webappa/index.html?parcelID=1659507&amp;Theme=Imagery","1659507")</f>
        <v>1659507</v>
      </c>
      <c r="G282" s="37" t="s">
        <v>5140</v>
      </c>
      <c r="H282" s="38">
        <v>44469</v>
      </c>
      <c r="I282" s="39">
        <v>9950000</v>
      </c>
      <c r="J282" s="40">
        <v>0.23</v>
      </c>
      <c r="K282" s="37" t="s">
        <v>308</v>
      </c>
      <c r="L282" s="37" t="s">
        <v>4517</v>
      </c>
      <c r="M282" s="37" t="s">
        <v>5135</v>
      </c>
      <c r="N282" s="37" t="s">
        <v>5136</v>
      </c>
    </row>
    <row r="283" spans="1:14" ht="20.100000000000001" customHeight="1" x14ac:dyDescent="0.25">
      <c r="A283" s="36" t="s">
        <v>5132</v>
      </c>
      <c r="B283" s="37" t="s">
        <v>105</v>
      </c>
      <c r="C283" s="36">
        <v>8401102</v>
      </c>
      <c r="D283" s="37" t="s">
        <v>17</v>
      </c>
      <c r="E283" s="36" t="s">
        <v>5141</v>
      </c>
      <c r="F283" s="21" t="str">
        <f>HYPERLINK("https://psearch.kitsapgov.com/webappa/index.html?parcelID=1659515&amp;Theme=Imagery","1659515")</f>
        <v>1659515</v>
      </c>
      <c r="G283" s="37" t="s">
        <v>5142</v>
      </c>
      <c r="H283" s="38">
        <v>44469</v>
      </c>
      <c r="I283" s="39">
        <v>9950000</v>
      </c>
      <c r="J283" s="40">
        <v>0.41</v>
      </c>
      <c r="K283" s="37" t="s">
        <v>308</v>
      </c>
      <c r="L283" s="37" t="s">
        <v>4517</v>
      </c>
      <c r="M283" s="37" t="s">
        <v>5135</v>
      </c>
      <c r="N283" s="37" t="s">
        <v>5136</v>
      </c>
    </row>
    <row r="284" spans="1:14" ht="39.950000000000003" customHeight="1" x14ac:dyDescent="0.25">
      <c r="A284" s="36" t="s">
        <v>5143</v>
      </c>
      <c r="B284" s="37" t="s">
        <v>105</v>
      </c>
      <c r="C284" s="36">
        <v>7400207</v>
      </c>
      <c r="D284" s="37" t="s">
        <v>5144</v>
      </c>
      <c r="E284" s="36" t="s">
        <v>5145</v>
      </c>
      <c r="F284" s="21" t="str">
        <f>HYPERLINK("https://psearch.kitsapgov.com/webappa/index.html?parcelID=2647089&amp;Theme=Imagery","2647089")</f>
        <v>2647089</v>
      </c>
      <c r="G284" s="37" t="s">
        <v>3019</v>
      </c>
      <c r="H284" s="38">
        <v>44477</v>
      </c>
      <c r="I284" s="39">
        <v>595000</v>
      </c>
      <c r="J284" s="40">
        <v>4.1100000000000003</v>
      </c>
      <c r="K284" s="37" t="s">
        <v>205</v>
      </c>
      <c r="L284" s="37" t="s">
        <v>4517</v>
      </c>
      <c r="M284" s="37" t="s">
        <v>5146</v>
      </c>
      <c r="N284" s="37" t="s">
        <v>5147</v>
      </c>
    </row>
    <row r="285" spans="1:14" ht="20.100000000000001" customHeight="1" x14ac:dyDescent="0.25">
      <c r="A285" s="36" t="s">
        <v>5143</v>
      </c>
      <c r="B285" s="37" t="s">
        <v>105</v>
      </c>
      <c r="C285" s="36">
        <v>9400207</v>
      </c>
      <c r="D285" s="37" t="s">
        <v>2002</v>
      </c>
      <c r="E285" s="36" t="s">
        <v>5148</v>
      </c>
      <c r="F285" s="21" t="str">
        <f>HYPERLINK("https://psearch.kitsapgov.com/webappa/index.html?parcelID=2647097&amp;Theme=Imagery","2647097")</f>
        <v>2647097</v>
      </c>
      <c r="G285" s="37" t="s">
        <v>5149</v>
      </c>
      <c r="H285" s="38">
        <v>44477</v>
      </c>
      <c r="I285" s="39">
        <v>595000</v>
      </c>
      <c r="J285" s="40">
        <v>19.36</v>
      </c>
      <c r="K285" s="37" t="s">
        <v>205</v>
      </c>
      <c r="L285" s="37" t="s">
        <v>4517</v>
      </c>
      <c r="M285" s="37" t="s">
        <v>5146</v>
      </c>
      <c r="N285" s="37" t="s">
        <v>5147</v>
      </c>
    </row>
    <row r="286" spans="1:14" ht="39.950000000000003" customHeight="1" x14ac:dyDescent="0.25">
      <c r="A286" s="36" t="s">
        <v>5150</v>
      </c>
      <c r="B286" s="37" t="s">
        <v>24</v>
      </c>
      <c r="C286" s="36">
        <v>8401101</v>
      </c>
      <c r="D286" s="37" t="s">
        <v>305</v>
      </c>
      <c r="E286" s="36" t="s">
        <v>5151</v>
      </c>
      <c r="F286" s="21" t="str">
        <f>HYPERLINK("https://psearch.kitsapgov.com/webappa/index.html?parcelID=2166874&amp;Theme=Imagery","2166874")</f>
        <v>2166874</v>
      </c>
      <c r="G286" s="37" t="s">
        <v>5152</v>
      </c>
      <c r="H286" s="38">
        <v>44484</v>
      </c>
      <c r="I286" s="39">
        <v>8607355</v>
      </c>
      <c r="J286" s="40">
        <v>3.25</v>
      </c>
      <c r="K286" s="37" t="s">
        <v>308</v>
      </c>
      <c r="L286" s="37" t="s">
        <v>190</v>
      </c>
      <c r="M286" s="37" t="s">
        <v>5153</v>
      </c>
      <c r="N286" s="37" t="s">
        <v>5154</v>
      </c>
    </row>
    <row r="287" spans="1:14" ht="20.100000000000001" customHeight="1" x14ac:dyDescent="0.25">
      <c r="A287" s="36" t="s">
        <v>5150</v>
      </c>
      <c r="B287" s="37" t="s">
        <v>24</v>
      </c>
      <c r="C287" s="36">
        <v>8401101</v>
      </c>
      <c r="D287" s="37" t="s">
        <v>305</v>
      </c>
      <c r="E287" s="36" t="s">
        <v>5155</v>
      </c>
      <c r="F287" s="21" t="str">
        <f>HYPERLINK("https://psearch.kitsapgov.com/webappa/index.html?parcelID=2351872&amp;Theme=Imagery","2351872")</f>
        <v>2351872</v>
      </c>
      <c r="G287" s="37" t="s">
        <v>5156</v>
      </c>
      <c r="H287" s="38">
        <v>44484</v>
      </c>
      <c r="I287" s="39">
        <v>8607355</v>
      </c>
      <c r="J287" s="40">
        <v>0.08</v>
      </c>
      <c r="K287" s="37" t="s">
        <v>308</v>
      </c>
      <c r="L287" s="37" t="s">
        <v>190</v>
      </c>
      <c r="M287" s="37" t="s">
        <v>5153</v>
      </c>
      <c r="N287" s="37" t="s">
        <v>5154</v>
      </c>
    </row>
    <row r="288" spans="1:14" ht="39.950000000000003" customHeight="1" x14ac:dyDescent="0.25">
      <c r="A288" s="36" t="s">
        <v>5157</v>
      </c>
      <c r="B288" s="37" t="s">
        <v>1759</v>
      </c>
      <c r="C288" s="36">
        <v>8303601</v>
      </c>
      <c r="D288" s="37" t="s">
        <v>25</v>
      </c>
      <c r="E288" s="36" t="s">
        <v>5158</v>
      </c>
      <c r="F288" s="21" t="str">
        <f>HYPERLINK("https://psearch.kitsapgov.com/webappa/index.html?parcelID=2473593&amp;Theme=Imagery","2473593")</f>
        <v>2473593</v>
      </c>
      <c r="G288" s="37" t="s">
        <v>5159</v>
      </c>
      <c r="H288" s="38">
        <v>44491</v>
      </c>
      <c r="I288" s="39">
        <v>930000</v>
      </c>
      <c r="J288" s="40">
        <v>0</v>
      </c>
      <c r="L288" s="37" t="s">
        <v>4517</v>
      </c>
      <c r="M288" s="37" t="s">
        <v>5160</v>
      </c>
      <c r="N288" s="37" t="s">
        <v>5161</v>
      </c>
    </row>
    <row r="289" spans="1:14" ht="20.100000000000001" customHeight="1" x14ac:dyDescent="0.25">
      <c r="A289" s="36" t="s">
        <v>5157</v>
      </c>
      <c r="B289" s="37" t="s">
        <v>5162</v>
      </c>
      <c r="C289" s="36">
        <v>7303680</v>
      </c>
      <c r="D289" s="37" t="s">
        <v>5163</v>
      </c>
      <c r="E289" s="36" t="s">
        <v>5164</v>
      </c>
      <c r="F289" s="21" t="str">
        <f>HYPERLINK("https://psearch.kitsapgov.com/webappa/index.html?parcelID=2468700&amp;Theme=Imagery","2468700")</f>
        <v>2468700</v>
      </c>
      <c r="G289" s="37" t="s">
        <v>3019</v>
      </c>
      <c r="H289" s="38">
        <v>44491</v>
      </c>
      <c r="I289" s="39">
        <v>930000</v>
      </c>
      <c r="J289" s="40">
        <v>0</v>
      </c>
      <c r="L289" s="37" t="s">
        <v>4552</v>
      </c>
      <c r="M289" s="37" t="s">
        <v>5165</v>
      </c>
      <c r="N289" s="37" t="s">
        <v>5166</v>
      </c>
    </row>
    <row r="290" spans="1:14" ht="20.100000000000001" customHeight="1" x14ac:dyDescent="0.25">
      <c r="A290" s="36" t="s">
        <v>5157</v>
      </c>
      <c r="B290" s="37" t="s">
        <v>5162</v>
      </c>
      <c r="C290" s="36">
        <v>7303680</v>
      </c>
      <c r="D290" s="37" t="s">
        <v>5163</v>
      </c>
      <c r="E290" s="36" t="s">
        <v>5167</v>
      </c>
      <c r="F290" s="21" t="str">
        <f>HYPERLINK("https://psearch.kitsapgov.com/webappa/index.html?parcelID=2468734&amp;Theme=Imagery","2468734")</f>
        <v>2468734</v>
      </c>
      <c r="G290" s="37" t="s">
        <v>3019</v>
      </c>
      <c r="H290" s="38">
        <v>44491</v>
      </c>
      <c r="I290" s="39">
        <v>930000</v>
      </c>
      <c r="J290" s="40">
        <v>0</v>
      </c>
      <c r="L290" s="37" t="s">
        <v>4552</v>
      </c>
      <c r="M290" s="37" t="s">
        <v>5165</v>
      </c>
      <c r="N290" s="37" t="s">
        <v>5166</v>
      </c>
    </row>
    <row r="291" spans="1:14" ht="39.950000000000003" customHeight="1" x14ac:dyDescent="0.25">
      <c r="A291" s="36" t="s">
        <v>5168</v>
      </c>
      <c r="B291" s="37" t="s">
        <v>5169</v>
      </c>
      <c r="C291" s="36">
        <v>9401127</v>
      </c>
      <c r="D291" s="37" t="s">
        <v>5170</v>
      </c>
      <c r="E291" s="36" t="s">
        <v>5171</v>
      </c>
      <c r="F291" s="21" t="str">
        <f>HYPERLINK("https://psearch.kitsapgov.com/webappa/index.html?parcelID=1225895&amp;Theme=Imagery","1225895")</f>
        <v>1225895</v>
      </c>
      <c r="G291" s="37" t="s">
        <v>5172</v>
      </c>
      <c r="H291" s="38">
        <v>44497</v>
      </c>
      <c r="I291" s="39">
        <v>6000000</v>
      </c>
      <c r="J291" s="40">
        <v>75.72</v>
      </c>
      <c r="K291" s="37" t="s">
        <v>205</v>
      </c>
      <c r="L291" s="37" t="s">
        <v>190</v>
      </c>
      <c r="M291" s="37" t="s">
        <v>5173</v>
      </c>
      <c r="N291" s="37" t="s">
        <v>5174</v>
      </c>
    </row>
    <row r="292" spans="1:14" ht="20.100000000000001" customHeight="1" x14ac:dyDescent="0.25">
      <c r="A292" s="36" t="s">
        <v>5168</v>
      </c>
      <c r="B292" s="37" t="s">
        <v>105</v>
      </c>
      <c r="C292" s="36">
        <v>7401190</v>
      </c>
      <c r="D292" s="37" t="s">
        <v>5175</v>
      </c>
      <c r="E292" s="36" t="s">
        <v>5176</v>
      </c>
      <c r="F292" s="21" t="str">
        <f>HYPERLINK("https://psearch.kitsapgov.com/webappa/index.html?parcelID=1225960&amp;Theme=Imagery","1225960")</f>
        <v>1225960</v>
      </c>
      <c r="G292" s="37" t="s">
        <v>3019</v>
      </c>
      <c r="H292" s="38">
        <v>44497</v>
      </c>
      <c r="I292" s="39">
        <v>6000000</v>
      </c>
      <c r="J292" s="40">
        <v>4.97</v>
      </c>
      <c r="K292" s="37" t="s">
        <v>176</v>
      </c>
      <c r="L292" s="37" t="s">
        <v>190</v>
      </c>
      <c r="M292" s="37" t="s">
        <v>5173</v>
      </c>
      <c r="N292" s="37" t="s">
        <v>5174</v>
      </c>
    </row>
    <row r="293" spans="1:14" ht="20.100000000000001" customHeight="1" x14ac:dyDescent="0.25">
      <c r="A293" s="36" t="s">
        <v>5168</v>
      </c>
      <c r="B293" s="37" t="s">
        <v>105</v>
      </c>
      <c r="C293" s="36">
        <v>7401190</v>
      </c>
      <c r="D293" s="37" t="s">
        <v>5175</v>
      </c>
      <c r="E293" s="36" t="s">
        <v>5177</v>
      </c>
      <c r="F293" s="21" t="str">
        <f>HYPERLINK("https://psearch.kitsapgov.com/webappa/index.html?parcelID=1225978&amp;Theme=Imagery","1225978")</f>
        <v>1225978</v>
      </c>
      <c r="G293" s="37" t="s">
        <v>3019</v>
      </c>
      <c r="H293" s="38">
        <v>44497</v>
      </c>
      <c r="I293" s="39">
        <v>6000000</v>
      </c>
      <c r="J293" s="40">
        <v>9.9700000000000006</v>
      </c>
      <c r="K293" s="37" t="s">
        <v>176</v>
      </c>
      <c r="L293" s="37" t="s">
        <v>190</v>
      </c>
      <c r="M293" s="37" t="s">
        <v>5173</v>
      </c>
      <c r="N293" s="37" t="s">
        <v>5174</v>
      </c>
    </row>
    <row r="294" spans="1:14" ht="20.100000000000001" customHeight="1" x14ac:dyDescent="0.25">
      <c r="A294" s="36" t="s">
        <v>5168</v>
      </c>
      <c r="B294" s="37" t="s">
        <v>5169</v>
      </c>
      <c r="C294" s="36">
        <v>9401127</v>
      </c>
      <c r="D294" s="37" t="s">
        <v>5170</v>
      </c>
      <c r="E294" s="36" t="s">
        <v>5178</v>
      </c>
      <c r="F294" s="21" t="str">
        <f>HYPERLINK("https://psearch.kitsapgov.com/webappa/index.html?parcelID=1225994&amp;Theme=Imagery","1225994")</f>
        <v>1225994</v>
      </c>
      <c r="G294" s="37" t="s">
        <v>5172</v>
      </c>
      <c r="H294" s="38">
        <v>44497</v>
      </c>
      <c r="I294" s="39">
        <v>6000000</v>
      </c>
      <c r="J294" s="40">
        <v>40.299999999999997</v>
      </c>
      <c r="K294" s="37" t="s">
        <v>176</v>
      </c>
      <c r="L294" s="37" t="s">
        <v>190</v>
      </c>
      <c r="M294" s="37" t="s">
        <v>5173</v>
      </c>
      <c r="N294" s="37" t="s">
        <v>5174</v>
      </c>
    </row>
    <row r="295" spans="1:14" ht="39.950000000000003" customHeight="1" x14ac:dyDescent="0.25">
      <c r="A295" s="36" t="s">
        <v>5179</v>
      </c>
      <c r="B295" s="37" t="s">
        <v>105</v>
      </c>
      <c r="C295" s="36">
        <v>7401591</v>
      </c>
      <c r="D295" s="37" t="s">
        <v>1297</v>
      </c>
      <c r="E295" s="36" t="s">
        <v>5180</v>
      </c>
      <c r="F295" s="21" t="str">
        <f>HYPERLINK("https://psearch.kitsapgov.com/webappa/index.html?parcelID=2646891&amp;Theme=Imagery","2646891")</f>
        <v>2646891</v>
      </c>
      <c r="G295" s="37" t="s">
        <v>3019</v>
      </c>
      <c r="H295" s="38">
        <v>44494</v>
      </c>
      <c r="I295" s="39">
        <v>6150000</v>
      </c>
      <c r="J295" s="40">
        <v>0.74</v>
      </c>
      <c r="K295" s="37" t="s">
        <v>4231</v>
      </c>
      <c r="L295" s="37" t="s">
        <v>4517</v>
      </c>
      <c r="M295" s="37" t="s">
        <v>5181</v>
      </c>
      <c r="N295" s="37" t="s">
        <v>5182</v>
      </c>
    </row>
    <row r="296" spans="1:14" ht="20.100000000000001" customHeight="1" x14ac:dyDescent="0.25">
      <c r="A296" s="36" t="s">
        <v>5179</v>
      </c>
      <c r="B296" s="37" t="s">
        <v>105</v>
      </c>
      <c r="C296" s="36">
        <v>7401591</v>
      </c>
      <c r="D296" s="37" t="s">
        <v>1297</v>
      </c>
      <c r="E296" s="36" t="s">
        <v>5183</v>
      </c>
      <c r="F296" s="21" t="str">
        <f>HYPERLINK("https://psearch.kitsapgov.com/webappa/index.html?parcelID=2646909&amp;Theme=Imagery","2646909")</f>
        <v>2646909</v>
      </c>
      <c r="G296" s="37" t="s">
        <v>3019</v>
      </c>
      <c r="H296" s="38">
        <v>44494</v>
      </c>
      <c r="I296" s="39">
        <v>6150000</v>
      </c>
      <c r="J296" s="40">
        <v>0.83</v>
      </c>
      <c r="K296" s="37" t="s">
        <v>4231</v>
      </c>
      <c r="L296" s="37" t="s">
        <v>4517</v>
      </c>
      <c r="M296" s="37" t="s">
        <v>5181</v>
      </c>
      <c r="N296" s="37" t="s">
        <v>5182</v>
      </c>
    </row>
    <row r="297" spans="1:14" ht="20.100000000000001" customHeight="1" x14ac:dyDescent="0.25">
      <c r="A297" s="36" t="s">
        <v>5179</v>
      </c>
      <c r="B297" s="37" t="s">
        <v>105</v>
      </c>
      <c r="C297" s="36">
        <v>7401591</v>
      </c>
      <c r="D297" s="37" t="s">
        <v>1297</v>
      </c>
      <c r="E297" s="36" t="s">
        <v>5184</v>
      </c>
      <c r="F297" s="21" t="str">
        <f>HYPERLINK("https://psearch.kitsapgov.com/webappa/index.html?parcelID=2649812&amp;Theme=Imagery","2649812")</f>
        <v>2649812</v>
      </c>
      <c r="G297" s="37" t="s">
        <v>3019</v>
      </c>
      <c r="H297" s="38">
        <v>44494</v>
      </c>
      <c r="I297" s="39">
        <v>6150000</v>
      </c>
      <c r="J297" s="40">
        <v>20</v>
      </c>
      <c r="K297" s="37" t="s">
        <v>5185</v>
      </c>
      <c r="L297" s="37" t="s">
        <v>4517</v>
      </c>
      <c r="M297" s="37" t="s">
        <v>5186</v>
      </c>
      <c r="N297" s="37" t="s">
        <v>5187</v>
      </c>
    </row>
    <row r="298" spans="1:14" ht="20.100000000000001" customHeight="1" x14ac:dyDescent="0.25">
      <c r="A298" s="36" t="s">
        <v>5179</v>
      </c>
      <c r="B298" s="37" t="s">
        <v>105</v>
      </c>
      <c r="C298" s="36">
        <v>7401591</v>
      </c>
      <c r="D298" s="37" t="s">
        <v>1297</v>
      </c>
      <c r="E298" s="36" t="s">
        <v>5188</v>
      </c>
      <c r="F298" s="21" t="str">
        <f>HYPERLINK("https://psearch.kitsapgov.com/webappa/index.html?parcelID=2649820&amp;Theme=Imagery","2649820")</f>
        <v>2649820</v>
      </c>
      <c r="G298" s="37" t="s">
        <v>3019</v>
      </c>
      <c r="H298" s="38">
        <v>44494</v>
      </c>
      <c r="I298" s="39">
        <v>6150000</v>
      </c>
      <c r="J298" s="40">
        <v>26.09</v>
      </c>
      <c r="K298" s="37" t="s">
        <v>5185</v>
      </c>
      <c r="L298" s="37" t="s">
        <v>4517</v>
      </c>
      <c r="M298" s="37" t="s">
        <v>5186</v>
      </c>
      <c r="N298" s="37" t="s">
        <v>5187</v>
      </c>
    </row>
    <row r="299" spans="1:14" ht="20.100000000000001" customHeight="1" x14ac:dyDescent="0.25">
      <c r="A299" s="36" t="s">
        <v>5179</v>
      </c>
      <c r="B299" s="37" t="s">
        <v>262</v>
      </c>
      <c r="C299" s="36">
        <v>7401591</v>
      </c>
      <c r="D299" s="37" t="s">
        <v>1297</v>
      </c>
      <c r="E299" s="36" t="s">
        <v>5189</v>
      </c>
      <c r="F299" s="21" t="str">
        <f>HYPERLINK("https://psearch.kitsapgov.com/webappa/index.html?parcelID=1235266&amp;Theme=Imagery","1235266")</f>
        <v>1235266</v>
      </c>
      <c r="G299" s="37" t="s">
        <v>3019</v>
      </c>
      <c r="H299" s="38">
        <v>44494</v>
      </c>
      <c r="I299" s="39">
        <v>6150000</v>
      </c>
      <c r="J299" s="40">
        <v>3.38</v>
      </c>
      <c r="K299" s="37" t="s">
        <v>4231</v>
      </c>
      <c r="L299" s="37" t="s">
        <v>4517</v>
      </c>
      <c r="M299" s="37" t="s">
        <v>5186</v>
      </c>
      <c r="N299" s="37" t="s">
        <v>5187</v>
      </c>
    </row>
    <row r="300" spans="1:14" ht="20.100000000000001" customHeight="1" x14ac:dyDescent="0.25">
      <c r="A300" s="36" t="s">
        <v>5179</v>
      </c>
      <c r="B300" s="37" t="s">
        <v>105</v>
      </c>
      <c r="C300" s="36">
        <v>7401591</v>
      </c>
      <c r="D300" s="37" t="s">
        <v>1297</v>
      </c>
      <c r="E300" s="36" t="s">
        <v>5190</v>
      </c>
      <c r="F300" s="21" t="str">
        <f>HYPERLINK("https://psearch.kitsapgov.com/webappa/index.html?parcelID=2646917&amp;Theme=Imagery","2646917")</f>
        <v>2646917</v>
      </c>
      <c r="G300" s="37" t="s">
        <v>3019</v>
      </c>
      <c r="H300" s="38">
        <v>44494</v>
      </c>
      <c r="I300" s="39">
        <v>6150000</v>
      </c>
      <c r="J300" s="40">
        <v>2.9</v>
      </c>
      <c r="K300" s="37" t="s">
        <v>4231</v>
      </c>
      <c r="L300" s="37" t="s">
        <v>4517</v>
      </c>
      <c r="M300" s="37" t="s">
        <v>5186</v>
      </c>
      <c r="N300" s="37" t="s">
        <v>5187</v>
      </c>
    </row>
    <row r="301" spans="1:14" ht="20.100000000000001" customHeight="1" x14ac:dyDescent="0.25">
      <c r="A301" s="36" t="s">
        <v>5179</v>
      </c>
      <c r="B301" s="37" t="s">
        <v>262</v>
      </c>
      <c r="C301" s="36">
        <v>7401591</v>
      </c>
      <c r="D301" s="37" t="s">
        <v>1297</v>
      </c>
      <c r="E301" s="36" t="s">
        <v>5191</v>
      </c>
      <c r="F301" s="21" t="str">
        <f>HYPERLINK("https://psearch.kitsapgov.com/webappa/index.html?parcelID=2646933&amp;Theme=Imagery","2646933")</f>
        <v>2646933</v>
      </c>
      <c r="G301" s="37" t="s">
        <v>3019</v>
      </c>
      <c r="H301" s="38">
        <v>44494</v>
      </c>
      <c r="I301" s="39">
        <v>6150000</v>
      </c>
      <c r="J301" s="40">
        <v>1.01</v>
      </c>
      <c r="K301" s="37" t="s">
        <v>4231</v>
      </c>
      <c r="L301" s="37" t="s">
        <v>4517</v>
      </c>
      <c r="M301" s="37" t="s">
        <v>5186</v>
      </c>
      <c r="N301" s="37" t="s">
        <v>5187</v>
      </c>
    </row>
    <row r="302" spans="1:14" ht="20.100000000000001" customHeight="1" x14ac:dyDescent="0.25">
      <c r="A302" s="36" t="s">
        <v>5179</v>
      </c>
      <c r="B302" s="37" t="s">
        <v>105</v>
      </c>
      <c r="C302" s="36">
        <v>7401591</v>
      </c>
      <c r="D302" s="37" t="s">
        <v>1297</v>
      </c>
      <c r="E302" s="36" t="s">
        <v>5192</v>
      </c>
      <c r="F302" s="21" t="str">
        <f>HYPERLINK("https://psearch.kitsapgov.com/webappa/index.html?parcelID=2646941&amp;Theme=Imagery","2646941")</f>
        <v>2646941</v>
      </c>
      <c r="G302" s="37" t="s">
        <v>3019</v>
      </c>
      <c r="H302" s="38">
        <v>44494</v>
      </c>
      <c r="I302" s="39">
        <v>6150000</v>
      </c>
      <c r="J302" s="40">
        <v>0.77</v>
      </c>
      <c r="K302" s="37" t="s">
        <v>4231</v>
      </c>
      <c r="L302" s="37" t="s">
        <v>4517</v>
      </c>
      <c r="M302" s="37" t="s">
        <v>5181</v>
      </c>
      <c r="N302" s="37" t="s">
        <v>5182</v>
      </c>
    </row>
    <row r="303" spans="1:14" ht="20.100000000000001" customHeight="1" x14ac:dyDescent="0.25">
      <c r="A303" s="36" t="s">
        <v>5179</v>
      </c>
      <c r="B303" s="37" t="s">
        <v>105</v>
      </c>
      <c r="C303" s="36">
        <v>7401591</v>
      </c>
      <c r="D303" s="37" t="s">
        <v>1297</v>
      </c>
      <c r="E303" s="36" t="s">
        <v>5193</v>
      </c>
      <c r="F303" s="21" t="str">
        <f>HYPERLINK("https://psearch.kitsapgov.com/webappa/index.html?parcelID=2646966&amp;Theme=Imagery","2646966")</f>
        <v>2646966</v>
      </c>
      <c r="G303" s="37" t="s">
        <v>3019</v>
      </c>
      <c r="H303" s="38">
        <v>44494</v>
      </c>
      <c r="I303" s="39">
        <v>6150000</v>
      </c>
      <c r="J303" s="40">
        <v>0.79</v>
      </c>
      <c r="K303" s="37" t="s">
        <v>4231</v>
      </c>
      <c r="L303" s="37" t="s">
        <v>4517</v>
      </c>
      <c r="M303" s="37" t="s">
        <v>5181</v>
      </c>
      <c r="N303" s="37" t="s">
        <v>5182</v>
      </c>
    </row>
    <row r="304" spans="1:14" ht="20.100000000000001" customHeight="1" x14ac:dyDescent="0.25">
      <c r="A304" s="36" t="s">
        <v>5179</v>
      </c>
      <c r="B304" s="37" t="s">
        <v>105</v>
      </c>
      <c r="C304" s="36">
        <v>7401591</v>
      </c>
      <c r="D304" s="37" t="s">
        <v>1297</v>
      </c>
      <c r="E304" s="36" t="s">
        <v>5194</v>
      </c>
      <c r="F304" s="21" t="str">
        <f>HYPERLINK("https://psearch.kitsapgov.com/webappa/index.html?parcelID=2646974&amp;Theme=Imagery","2646974")</f>
        <v>2646974</v>
      </c>
      <c r="G304" s="37" t="s">
        <v>3019</v>
      </c>
      <c r="H304" s="38">
        <v>44494</v>
      </c>
      <c r="I304" s="39">
        <v>6150000</v>
      </c>
      <c r="J304" s="40">
        <v>0.84</v>
      </c>
      <c r="K304" s="37" t="s">
        <v>4231</v>
      </c>
      <c r="L304" s="37" t="s">
        <v>4517</v>
      </c>
      <c r="M304" s="37" t="s">
        <v>5181</v>
      </c>
      <c r="N304" s="37" t="s">
        <v>5182</v>
      </c>
    </row>
    <row r="305" spans="1:14" ht="20.100000000000001" customHeight="1" x14ac:dyDescent="0.25">
      <c r="A305" s="36" t="s">
        <v>5179</v>
      </c>
      <c r="B305" s="37" t="s">
        <v>105</v>
      </c>
      <c r="C305" s="36">
        <v>7401591</v>
      </c>
      <c r="D305" s="37" t="s">
        <v>1297</v>
      </c>
      <c r="E305" s="36" t="s">
        <v>5195</v>
      </c>
      <c r="F305" s="21" t="str">
        <f>HYPERLINK("https://psearch.kitsapgov.com/webappa/index.html?parcelID=2646982&amp;Theme=Imagery","2646982")</f>
        <v>2646982</v>
      </c>
      <c r="G305" s="37" t="s">
        <v>3019</v>
      </c>
      <c r="H305" s="38">
        <v>44494</v>
      </c>
      <c r="I305" s="39">
        <v>6150000</v>
      </c>
      <c r="J305" s="40">
        <v>0.93</v>
      </c>
      <c r="K305" s="37" t="s">
        <v>4231</v>
      </c>
      <c r="L305" s="37" t="s">
        <v>4517</v>
      </c>
      <c r="M305" s="37" t="s">
        <v>5181</v>
      </c>
      <c r="N305" s="37" t="s">
        <v>5182</v>
      </c>
    </row>
    <row r="306" spans="1:14" ht="20.100000000000001" customHeight="1" x14ac:dyDescent="0.25">
      <c r="A306" s="36" t="s">
        <v>5179</v>
      </c>
      <c r="B306" s="37" t="s">
        <v>105</v>
      </c>
      <c r="C306" s="36">
        <v>7401591</v>
      </c>
      <c r="D306" s="37" t="s">
        <v>1297</v>
      </c>
      <c r="E306" s="36" t="s">
        <v>5196</v>
      </c>
      <c r="F306" s="21" t="str">
        <f>HYPERLINK("https://psearch.kitsapgov.com/webappa/index.html?parcelID=2646990&amp;Theme=Imagery","2646990")</f>
        <v>2646990</v>
      </c>
      <c r="G306" s="37" t="s">
        <v>3019</v>
      </c>
      <c r="H306" s="38">
        <v>44494</v>
      </c>
      <c r="I306" s="39">
        <v>6150000</v>
      </c>
      <c r="J306" s="40">
        <v>0.89</v>
      </c>
      <c r="K306" s="37" t="s">
        <v>4231</v>
      </c>
      <c r="L306" s="37" t="s">
        <v>4517</v>
      </c>
      <c r="M306" s="37" t="s">
        <v>5181</v>
      </c>
      <c r="N306" s="37" t="s">
        <v>5182</v>
      </c>
    </row>
    <row r="307" spans="1:14" ht="20.100000000000001" customHeight="1" x14ac:dyDescent="0.25">
      <c r="A307" s="36" t="s">
        <v>5179</v>
      </c>
      <c r="B307" s="37" t="s">
        <v>105</v>
      </c>
      <c r="C307" s="36">
        <v>7401591</v>
      </c>
      <c r="D307" s="37" t="s">
        <v>1297</v>
      </c>
      <c r="E307" s="36" t="s">
        <v>5197</v>
      </c>
      <c r="F307" s="21" t="str">
        <f>HYPERLINK("https://psearch.kitsapgov.com/webappa/index.html?parcelID=2647006&amp;Theme=Imagery","2647006")</f>
        <v>2647006</v>
      </c>
      <c r="G307" s="37" t="s">
        <v>3019</v>
      </c>
      <c r="H307" s="38">
        <v>44494</v>
      </c>
      <c r="I307" s="39">
        <v>6150000</v>
      </c>
      <c r="J307" s="40">
        <v>0.92</v>
      </c>
      <c r="K307" s="37" t="s">
        <v>4231</v>
      </c>
      <c r="L307" s="37" t="s">
        <v>4517</v>
      </c>
      <c r="M307" s="37" t="s">
        <v>5181</v>
      </c>
      <c r="N307" s="37" t="s">
        <v>5182</v>
      </c>
    </row>
    <row r="308" spans="1:14" ht="39.950000000000003" customHeight="1" x14ac:dyDescent="0.25">
      <c r="A308" s="36" t="s">
        <v>5198</v>
      </c>
      <c r="B308" s="37" t="s">
        <v>105</v>
      </c>
      <c r="C308" s="36">
        <v>8400207</v>
      </c>
      <c r="D308" s="37" t="s">
        <v>298</v>
      </c>
      <c r="E308" s="36" t="s">
        <v>5199</v>
      </c>
      <c r="F308" s="21" t="str">
        <f>HYPERLINK("https://psearch.kitsapgov.com/webappa/index.html?parcelID=2457232&amp;Theme=Imagery","2457232")</f>
        <v>2457232</v>
      </c>
      <c r="G308" s="37" t="s">
        <v>5200</v>
      </c>
      <c r="H308" s="38">
        <v>44498</v>
      </c>
      <c r="I308" s="39">
        <v>1000000</v>
      </c>
      <c r="J308" s="40">
        <v>0.83</v>
      </c>
      <c r="K308" s="37" t="s">
        <v>960</v>
      </c>
      <c r="L308" s="37" t="s">
        <v>4517</v>
      </c>
      <c r="M308" s="37" t="s">
        <v>961</v>
      </c>
      <c r="N308" s="37" t="s">
        <v>2956</v>
      </c>
    </row>
    <row r="309" spans="1:14" ht="20.100000000000001" customHeight="1" x14ac:dyDescent="0.25">
      <c r="A309" s="36" t="s">
        <v>5198</v>
      </c>
      <c r="B309" s="37" t="s">
        <v>105</v>
      </c>
      <c r="C309" s="36">
        <v>8400207</v>
      </c>
      <c r="D309" s="37" t="s">
        <v>298</v>
      </c>
      <c r="E309" s="36" t="s">
        <v>5201</v>
      </c>
      <c r="F309" s="21" t="str">
        <f>HYPERLINK("https://psearch.kitsapgov.com/webappa/index.html?parcelID=2457240&amp;Theme=Imagery","2457240")</f>
        <v>2457240</v>
      </c>
      <c r="G309" s="37" t="s">
        <v>5202</v>
      </c>
      <c r="H309" s="38">
        <v>44498</v>
      </c>
      <c r="I309" s="39">
        <v>1000000</v>
      </c>
      <c r="J309" s="40">
        <v>0.83</v>
      </c>
      <c r="K309" s="37" t="s">
        <v>960</v>
      </c>
      <c r="L309" s="37" t="s">
        <v>4517</v>
      </c>
      <c r="M309" s="37" t="s">
        <v>961</v>
      </c>
      <c r="N309" s="37" t="s">
        <v>2956</v>
      </c>
    </row>
    <row r="310" spans="1:14" ht="20.100000000000001" customHeight="1" x14ac:dyDescent="0.25">
      <c r="A310" s="36" t="s">
        <v>5198</v>
      </c>
      <c r="B310" s="37" t="s">
        <v>105</v>
      </c>
      <c r="C310" s="36">
        <v>8400207</v>
      </c>
      <c r="D310" s="37" t="s">
        <v>298</v>
      </c>
      <c r="E310" s="36" t="s">
        <v>5203</v>
      </c>
      <c r="F310" s="21" t="str">
        <f>HYPERLINK("https://psearch.kitsapgov.com/webappa/index.html?parcelID=2457257&amp;Theme=Imagery","2457257")</f>
        <v>2457257</v>
      </c>
      <c r="G310" s="37" t="s">
        <v>5204</v>
      </c>
      <c r="H310" s="38">
        <v>44498</v>
      </c>
      <c r="I310" s="39">
        <v>1000000</v>
      </c>
      <c r="J310" s="40">
        <v>0.84</v>
      </c>
      <c r="K310" s="37" t="s">
        <v>960</v>
      </c>
      <c r="L310" s="37" t="s">
        <v>4517</v>
      </c>
      <c r="M310" s="37" t="s">
        <v>961</v>
      </c>
      <c r="N310" s="37" t="s">
        <v>2956</v>
      </c>
    </row>
    <row r="311" spans="1:14" ht="20.100000000000001" customHeight="1" x14ac:dyDescent="0.25">
      <c r="A311" s="36" t="s">
        <v>5198</v>
      </c>
      <c r="B311" s="37" t="s">
        <v>105</v>
      </c>
      <c r="C311" s="36">
        <v>8400207</v>
      </c>
      <c r="D311" s="37" t="s">
        <v>298</v>
      </c>
      <c r="E311" s="36" t="s">
        <v>5205</v>
      </c>
      <c r="F311" s="21" t="str">
        <f>HYPERLINK("https://psearch.kitsapgov.com/webappa/index.html?parcelID=2457166&amp;Theme=Imagery","2457166")</f>
        <v>2457166</v>
      </c>
      <c r="G311" s="37" t="s">
        <v>5206</v>
      </c>
      <c r="H311" s="38">
        <v>44498</v>
      </c>
      <c r="I311" s="39">
        <v>1000000</v>
      </c>
      <c r="J311" s="40">
        <v>1.45</v>
      </c>
      <c r="K311" s="37" t="s">
        <v>960</v>
      </c>
      <c r="L311" s="37" t="s">
        <v>4517</v>
      </c>
      <c r="M311" s="37" t="s">
        <v>961</v>
      </c>
      <c r="N311" s="37" t="s">
        <v>2956</v>
      </c>
    </row>
    <row r="312" spans="1:14" ht="20.100000000000001" customHeight="1" x14ac:dyDescent="0.25">
      <c r="A312" s="36" t="s">
        <v>5198</v>
      </c>
      <c r="B312" s="37" t="s">
        <v>105</v>
      </c>
      <c r="C312" s="36">
        <v>8400207</v>
      </c>
      <c r="D312" s="37" t="s">
        <v>298</v>
      </c>
      <c r="E312" s="36" t="s">
        <v>5207</v>
      </c>
      <c r="F312" s="21" t="str">
        <f>HYPERLINK("https://psearch.kitsapgov.com/webappa/index.html?parcelID=2457182&amp;Theme=Imagery","2457182")</f>
        <v>2457182</v>
      </c>
      <c r="G312" s="37" t="s">
        <v>5208</v>
      </c>
      <c r="H312" s="38">
        <v>44498</v>
      </c>
      <c r="I312" s="39">
        <v>1000000</v>
      </c>
      <c r="J312" s="40">
        <v>0.62</v>
      </c>
      <c r="K312" s="37" t="s">
        <v>960</v>
      </c>
      <c r="L312" s="37" t="s">
        <v>4517</v>
      </c>
      <c r="M312" s="37" t="s">
        <v>961</v>
      </c>
      <c r="N312" s="37" t="s">
        <v>2956</v>
      </c>
    </row>
    <row r="313" spans="1:14" ht="39.950000000000003" customHeight="1" x14ac:dyDescent="0.25">
      <c r="A313" s="36" t="s">
        <v>5209</v>
      </c>
      <c r="B313" s="37" t="s">
        <v>70</v>
      </c>
      <c r="C313" s="36">
        <v>8400204</v>
      </c>
      <c r="D313" s="37" t="s">
        <v>194</v>
      </c>
      <c r="E313" s="36" t="s">
        <v>5210</v>
      </c>
      <c r="F313" s="21" t="str">
        <f>HYPERLINK("https://psearch.kitsapgov.com/webappa/index.html?parcelID=2592913&amp;Theme=Imagery","2592913")</f>
        <v>2592913</v>
      </c>
      <c r="G313" s="37" t="s">
        <v>5211</v>
      </c>
      <c r="H313" s="38">
        <v>44505</v>
      </c>
      <c r="I313" s="39">
        <v>1390000</v>
      </c>
      <c r="J313" s="40">
        <v>1.39</v>
      </c>
      <c r="K313" s="37" t="s">
        <v>2040</v>
      </c>
      <c r="L313" s="37" t="s">
        <v>4517</v>
      </c>
      <c r="M313" s="37" t="s">
        <v>5212</v>
      </c>
      <c r="N313" s="37" t="s">
        <v>5213</v>
      </c>
    </row>
    <row r="314" spans="1:14" ht="20.100000000000001" customHeight="1" x14ac:dyDescent="0.25">
      <c r="A314" s="36" t="s">
        <v>5209</v>
      </c>
      <c r="B314" s="37" t="s">
        <v>834</v>
      </c>
      <c r="C314" s="36">
        <v>8400204</v>
      </c>
      <c r="D314" s="37" t="s">
        <v>194</v>
      </c>
      <c r="E314" s="36" t="s">
        <v>5214</v>
      </c>
      <c r="F314" s="21" t="str">
        <f>HYPERLINK("https://psearch.kitsapgov.com/webappa/index.html?parcelID=2592921&amp;Theme=Imagery","2592921")</f>
        <v>2592921</v>
      </c>
      <c r="G314" s="37" t="s">
        <v>5215</v>
      </c>
      <c r="H314" s="38">
        <v>44505</v>
      </c>
      <c r="I314" s="39">
        <v>1390000</v>
      </c>
      <c r="J314" s="40">
        <v>2.63</v>
      </c>
      <c r="K314" s="37" t="s">
        <v>2040</v>
      </c>
      <c r="L314" s="37" t="s">
        <v>4517</v>
      </c>
      <c r="M314" s="37" t="s">
        <v>5212</v>
      </c>
      <c r="N314" s="37" t="s">
        <v>5213</v>
      </c>
    </row>
    <row r="315" spans="1:14" ht="39.950000000000003" customHeight="1" x14ac:dyDescent="0.25">
      <c r="A315" s="36" t="s">
        <v>5216</v>
      </c>
      <c r="B315" s="37" t="s">
        <v>105</v>
      </c>
      <c r="C315" s="36">
        <v>8303601</v>
      </c>
      <c r="D315" s="37" t="s">
        <v>25</v>
      </c>
      <c r="E315" s="36" t="s">
        <v>5217</v>
      </c>
      <c r="F315" s="21" t="str">
        <f>HYPERLINK("https://psearch.kitsapgov.com/webappa/index.html?parcelID=2541050&amp;Theme=Imagery","2541050")</f>
        <v>2541050</v>
      </c>
      <c r="G315" s="37" t="s">
        <v>5218</v>
      </c>
      <c r="H315" s="38">
        <v>44510</v>
      </c>
      <c r="I315" s="39">
        <v>7175191</v>
      </c>
      <c r="J315" s="40">
        <v>0.12</v>
      </c>
      <c r="K315" s="37" t="s">
        <v>421</v>
      </c>
      <c r="L315" s="37" t="s">
        <v>4517</v>
      </c>
      <c r="M315" s="37" t="s">
        <v>5219</v>
      </c>
      <c r="N315" s="37" t="s">
        <v>5220</v>
      </c>
    </row>
    <row r="316" spans="1:14" ht="20.100000000000001" customHeight="1" x14ac:dyDescent="0.25">
      <c r="A316" s="36" t="s">
        <v>5216</v>
      </c>
      <c r="B316" s="37" t="s">
        <v>159</v>
      </c>
      <c r="C316" s="36">
        <v>8303601</v>
      </c>
      <c r="D316" s="37" t="s">
        <v>25</v>
      </c>
      <c r="E316" s="36" t="s">
        <v>5221</v>
      </c>
      <c r="F316" s="21" t="str">
        <f>HYPERLINK("https://psearch.kitsapgov.com/webappa/index.html?parcelID=2541068&amp;Theme=Imagery","2541068")</f>
        <v>2541068</v>
      </c>
      <c r="G316" s="37" t="s">
        <v>5222</v>
      </c>
      <c r="H316" s="38">
        <v>44510</v>
      </c>
      <c r="I316" s="39">
        <v>7175191</v>
      </c>
      <c r="J316" s="40">
        <v>0.17</v>
      </c>
      <c r="K316" s="37" t="s">
        <v>421</v>
      </c>
      <c r="L316" s="37" t="s">
        <v>4517</v>
      </c>
      <c r="M316" s="37" t="s">
        <v>5219</v>
      </c>
      <c r="N316" s="37" t="s">
        <v>5220</v>
      </c>
    </row>
    <row r="317" spans="1:14" ht="20.100000000000001" customHeight="1" x14ac:dyDescent="0.25">
      <c r="A317" s="36" t="s">
        <v>5216</v>
      </c>
      <c r="B317" s="37" t="s">
        <v>159</v>
      </c>
      <c r="C317" s="36">
        <v>8303601</v>
      </c>
      <c r="D317" s="37" t="s">
        <v>25</v>
      </c>
      <c r="E317" s="36" t="s">
        <v>5223</v>
      </c>
      <c r="F317" s="21" t="str">
        <f>HYPERLINK("https://psearch.kitsapgov.com/webappa/index.html?parcelID=2541076&amp;Theme=Imagery","2541076")</f>
        <v>2541076</v>
      </c>
      <c r="G317" s="37" t="s">
        <v>5224</v>
      </c>
      <c r="H317" s="38">
        <v>44510</v>
      </c>
      <c r="I317" s="39">
        <v>7175191</v>
      </c>
      <c r="J317" s="40">
        <v>0.06</v>
      </c>
      <c r="K317" s="37" t="s">
        <v>421</v>
      </c>
      <c r="L317" s="37" t="s">
        <v>4517</v>
      </c>
      <c r="M317" s="37" t="s">
        <v>5219</v>
      </c>
      <c r="N317" s="37" t="s">
        <v>5220</v>
      </c>
    </row>
    <row r="318" spans="1:14" ht="20.100000000000001" customHeight="1" x14ac:dyDescent="0.25">
      <c r="A318" s="36" t="s">
        <v>5216</v>
      </c>
      <c r="B318" s="37" t="s">
        <v>159</v>
      </c>
      <c r="C318" s="36">
        <v>8303601</v>
      </c>
      <c r="D318" s="37" t="s">
        <v>25</v>
      </c>
      <c r="E318" s="36" t="s">
        <v>5225</v>
      </c>
      <c r="F318" s="21" t="str">
        <f>HYPERLINK("https://psearch.kitsapgov.com/webappa/index.html?parcelID=2541084&amp;Theme=Imagery","2541084")</f>
        <v>2541084</v>
      </c>
      <c r="G318" s="37" t="s">
        <v>5226</v>
      </c>
      <c r="H318" s="38">
        <v>44510</v>
      </c>
      <c r="I318" s="39">
        <v>7175191</v>
      </c>
      <c r="J318" s="40">
        <v>0.53</v>
      </c>
      <c r="K318" s="37" t="s">
        <v>421</v>
      </c>
      <c r="L318" s="37" t="s">
        <v>4517</v>
      </c>
      <c r="M318" s="37" t="s">
        <v>5227</v>
      </c>
      <c r="N318" s="37" t="s">
        <v>5228</v>
      </c>
    </row>
    <row r="319" spans="1:14" ht="39.950000000000003" customHeight="1" x14ac:dyDescent="0.25">
      <c r="A319" s="36" t="s">
        <v>5229</v>
      </c>
      <c r="B319" s="37" t="s">
        <v>459</v>
      </c>
      <c r="C319" s="36">
        <v>8100501</v>
      </c>
      <c r="D319" s="37" t="s">
        <v>63</v>
      </c>
      <c r="E319" s="36" t="s">
        <v>5230</v>
      </c>
      <c r="F319" s="21" t="str">
        <f>HYPERLINK("https://psearch.kitsapgov.com/webappa/index.html?parcelID=1428051&amp;Theme=Imagery","1428051")</f>
        <v>1428051</v>
      </c>
      <c r="G319" s="37" t="s">
        <v>5231</v>
      </c>
      <c r="H319" s="38">
        <v>44524</v>
      </c>
      <c r="I319" s="39">
        <v>750000</v>
      </c>
      <c r="J319" s="40">
        <v>0.09</v>
      </c>
      <c r="K319" s="37" t="s">
        <v>93</v>
      </c>
      <c r="L319" s="37" t="s">
        <v>4552</v>
      </c>
      <c r="M319" s="37" t="s">
        <v>5232</v>
      </c>
      <c r="N319" s="37" t="s">
        <v>5233</v>
      </c>
    </row>
    <row r="320" spans="1:14" ht="20.100000000000001" customHeight="1" x14ac:dyDescent="0.25">
      <c r="A320" s="36" t="s">
        <v>5229</v>
      </c>
      <c r="B320" s="37" t="s">
        <v>153</v>
      </c>
      <c r="C320" s="36">
        <v>8100501</v>
      </c>
      <c r="D320" s="37" t="s">
        <v>63</v>
      </c>
      <c r="E320" s="36" t="s">
        <v>5234</v>
      </c>
      <c r="F320" s="21" t="str">
        <f>HYPERLINK("https://psearch.kitsapgov.com/webappa/index.html?parcelID=1428069&amp;Theme=Imagery","1428069")</f>
        <v>1428069</v>
      </c>
      <c r="G320" s="37" t="s">
        <v>5235</v>
      </c>
      <c r="H320" s="38">
        <v>44524</v>
      </c>
      <c r="I320" s="39">
        <v>750000</v>
      </c>
      <c r="J320" s="40">
        <v>0.28000000000000003</v>
      </c>
      <c r="K320" s="37" t="s">
        <v>93</v>
      </c>
      <c r="L320" s="37" t="s">
        <v>4552</v>
      </c>
      <c r="M320" s="37" t="s">
        <v>5232</v>
      </c>
      <c r="N320" s="37" t="s">
        <v>5233</v>
      </c>
    </row>
    <row r="321" spans="1:14" ht="39.950000000000003" customHeight="1" x14ac:dyDescent="0.25">
      <c r="A321" s="36" t="s">
        <v>5236</v>
      </c>
      <c r="B321" s="37" t="s">
        <v>459</v>
      </c>
      <c r="C321" s="36">
        <v>8100502</v>
      </c>
      <c r="D321" s="37" t="s">
        <v>142</v>
      </c>
      <c r="E321" s="36" t="s">
        <v>5237</v>
      </c>
      <c r="F321" s="21" t="str">
        <f>HYPERLINK("https://psearch.kitsapgov.com/webappa/index.html?parcelID=1424357&amp;Theme=Imagery","1424357")</f>
        <v>1424357</v>
      </c>
      <c r="G321" s="37" t="s">
        <v>5238</v>
      </c>
      <c r="H321" s="38">
        <v>44539</v>
      </c>
      <c r="I321" s="39">
        <v>400000</v>
      </c>
      <c r="J321" s="40">
        <v>0.04</v>
      </c>
      <c r="K321" s="37" t="s">
        <v>168</v>
      </c>
      <c r="L321" s="37" t="s">
        <v>4517</v>
      </c>
      <c r="M321" s="37" t="s">
        <v>5239</v>
      </c>
      <c r="N321" s="37" t="s">
        <v>5240</v>
      </c>
    </row>
    <row r="322" spans="1:14" ht="20.100000000000001" customHeight="1" x14ac:dyDescent="0.25">
      <c r="A322" s="36" t="s">
        <v>5236</v>
      </c>
      <c r="B322" s="37" t="s">
        <v>62</v>
      </c>
      <c r="C322" s="36">
        <v>8100502</v>
      </c>
      <c r="D322" s="37" t="s">
        <v>142</v>
      </c>
      <c r="E322" s="36" t="s">
        <v>5241</v>
      </c>
      <c r="F322" s="21" t="str">
        <f>HYPERLINK("https://psearch.kitsapgov.com/webappa/index.html?parcelID=1424365&amp;Theme=Imagery","1424365")</f>
        <v>1424365</v>
      </c>
      <c r="G322" s="37" t="s">
        <v>5242</v>
      </c>
      <c r="H322" s="38">
        <v>44539</v>
      </c>
      <c r="I322" s="39">
        <v>400000</v>
      </c>
      <c r="J322" s="40">
        <v>0.15</v>
      </c>
      <c r="K322" s="37" t="s">
        <v>168</v>
      </c>
      <c r="L322" s="37" t="s">
        <v>4517</v>
      </c>
      <c r="M322" s="37" t="s">
        <v>5239</v>
      </c>
      <c r="N322" s="37" t="s">
        <v>5240</v>
      </c>
    </row>
    <row r="323" spans="1:14" ht="20.100000000000001" customHeight="1" x14ac:dyDescent="0.25">
      <c r="A323" s="36" t="s">
        <v>5236</v>
      </c>
      <c r="B323" s="37" t="s">
        <v>62</v>
      </c>
      <c r="C323" s="36">
        <v>8100502</v>
      </c>
      <c r="D323" s="37" t="s">
        <v>142</v>
      </c>
      <c r="E323" s="36" t="s">
        <v>5243</v>
      </c>
      <c r="F323" s="21" t="str">
        <f>HYPERLINK("https://psearch.kitsapgov.com/webappa/index.html?parcelID=2418242&amp;Theme=Imagery","2418242")</f>
        <v>2418242</v>
      </c>
      <c r="G323" s="37" t="s">
        <v>5244</v>
      </c>
      <c r="H323" s="38">
        <v>44539</v>
      </c>
      <c r="I323" s="39">
        <v>400000</v>
      </c>
      <c r="J323" s="40">
        <v>7.0000000000000007E-2</v>
      </c>
      <c r="K323" s="37" t="s">
        <v>168</v>
      </c>
      <c r="L323" s="37" t="s">
        <v>4517</v>
      </c>
      <c r="M323" s="37" t="s">
        <v>5239</v>
      </c>
      <c r="N323" s="37" t="s">
        <v>5240</v>
      </c>
    </row>
    <row r="324" spans="1:14" ht="39.950000000000003" customHeight="1" x14ac:dyDescent="0.25">
      <c r="A324" s="36" t="s">
        <v>5245</v>
      </c>
      <c r="B324" s="37" t="s">
        <v>105</v>
      </c>
      <c r="C324" s="36">
        <v>8303601</v>
      </c>
      <c r="D324" s="37" t="s">
        <v>25</v>
      </c>
      <c r="E324" s="36" t="s">
        <v>5246</v>
      </c>
      <c r="F324" s="21" t="str">
        <f>HYPERLINK("https://psearch.kitsapgov.com/webappa/index.html?parcelID=2603314&amp;Theme=Imagery","2603314")</f>
        <v>2603314</v>
      </c>
      <c r="G324" s="37" t="s">
        <v>5247</v>
      </c>
      <c r="H324" s="38">
        <v>44540</v>
      </c>
      <c r="I324" s="39">
        <v>4000000</v>
      </c>
      <c r="J324" s="40">
        <v>1.32</v>
      </c>
      <c r="K324" s="37" t="s">
        <v>5248</v>
      </c>
      <c r="L324" s="37" t="s">
        <v>4517</v>
      </c>
      <c r="M324" s="37" t="s">
        <v>5249</v>
      </c>
      <c r="N324" s="37" t="s">
        <v>5250</v>
      </c>
    </row>
    <row r="325" spans="1:14" ht="39.950000000000003" customHeight="1" x14ac:dyDescent="0.25">
      <c r="A325" s="36" t="s">
        <v>5251</v>
      </c>
      <c r="B325" s="37" t="s">
        <v>1759</v>
      </c>
      <c r="C325" s="36">
        <v>8303601</v>
      </c>
      <c r="D325" s="37" t="s">
        <v>25</v>
      </c>
      <c r="E325" s="36" t="s">
        <v>5252</v>
      </c>
      <c r="F325" s="21" t="str">
        <f>HYPERLINK("https://psearch.kitsapgov.com/webappa/index.html?parcelID=2468262&amp;Theme=Imagery","2468262")</f>
        <v>2468262</v>
      </c>
      <c r="G325" s="37" t="s">
        <v>5253</v>
      </c>
      <c r="H325" s="38">
        <v>44558</v>
      </c>
      <c r="I325" s="39">
        <v>1050000</v>
      </c>
      <c r="J325" s="40">
        <v>0</v>
      </c>
      <c r="L325" s="37" t="s">
        <v>4517</v>
      </c>
      <c r="M325" s="37" t="s">
        <v>5254</v>
      </c>
      <c r="N325" s="37" t="s">
        <v>5255</v>
      </c>
    </row>
    <row r="326" spans="1:14" ht="20.100000000000001" customHeight="1" x14ac:dyDescent="0.25">
      <c r="A326" s="36" t="s">
        <v>5251</v>
      </c>
      <c r="B326" s="37" t="s">
        <v>1759</v>
      </c>
      <c r="C326" s="36">
        <v>8303601</v>
      </c>
      <c r="D326" s="37" t="s">
        <v>25</v>
      </c>
      <c r="E326" s="36" t="s">
        <v>5256</v>
      </c>
      <c r="F326" s="21" t="str">
        <f>HYPERLINK("https://psearch.kitsapgov.com/webappa/index.html?parcelID=2468270&amp;Theme=Imagery","2468270")</f>
        <v>2468270</v>
      </c>
      <c r="G326" s="37" t="s">
        <v>5257</v>
      </c>
      <c r="H326" s="38">
        <v>44558</v>
      </c>
      <c r="I326" s="39">
        <v>1050000</v>
      </c>
      <c r="J326" s="40">
        <v>0</v>
      </c>
      <c r="L326" s="37" t="s">
        <v>4517</v>
      </c>
      <c r="M326" s="37" t="s">
        <v>5254</v>
      </c>
      <c r="N326" s="37" t="s">
        <v>5255</v>
      </c>
    </row>
    <row r="327" spans="1:14" ht="20.100000000000001" customHeight="1" x14ac:dyDescent="0.25">
      <c r="A327" s="36" t="s">
        <v>5251</v>
      </c>
      <c r="B327" s="37" t="s">
        <v>5162</v>
      </c>
      <c r="C327" s="36">
        <v>7303680</v>
      </c>
      <c r="D327" s="37" t="s">
        <v>5163</v>
      </c>
      <c r="E327" s="36" t="s">
        <v>5258</v>
      </c>
      <c r="F327" s="21" t="str">
        <f>HYPERLINK("https://psearch.kitsapgov.com/webappa/index.html?parcelID=2468635&amp;Theme=Imagery","2468635")</f>
        <v>2468635</v>
      </c>
      <c r="G327" s="37" t="s">
        <v>3019</v>
      </c>
      <c r="H327" s="38">
        <v>44558</v>
      </c>
      <c r="I327" s="39">
        <v>1050000</v>
      </c>
      <c r="J327" s="40">
        <v>0</v>
      </c>
      <c r="L327" s="37" t="s">
        <v>4517</v>
      </c>
      <c r="M327" s="37" t="s">
        <v>5254</v>
      </c>
      <c r="N327" s="37" t="s">
        <v>5255</v>
      </c>
    </row>
    <row r="328" spans="1:14" ht="39.950000000000003" customHeight="1" x14ac:dyDescent="0.25">
      <c r="A328" s="36" t="s">
        <v>5259</v>
      </c>
      <c r="B328" s="37" t="s">
        <v>48</v>
      </c>
      <c r="C328" s="36">
        <v>9100543</v>
      </c>
      <c r="D328" s="37" t="s">
        <v>1628</v>
      </c>
      <c r="E328" s="36" t="s">
        <v>5260</v>
      </c>
      <c r="F328" s="21" t="str">
        <f>HYPERLINK("https://psearch.kitsapgov.com/webappa/index.html?parcelID=2212389&amp;Theme=Imagery","2212389")</f>
        <v>2212389</v>
      </c>
      <c r="G328" s="37" t="s">
        <v>5261</v>
      </c>
      <c r="H328" s="38">
        <v>44557</v>
      </c>
      <c r="I328" s="39">
        <v>35500000</v>
      </c>
      <c r="J328" s="40">
        <v>4.92</v>
      </c>
      <c r="K328" s="37" t="s">
        <v>5078</v>
      </c>
      <c r="L328" s="37" t="s">
        <v>38</v>
      </c>
      <c r="M328" s="37" t="s">
        <v>5262</v>
      </c>
      <c r="N328" s="37" t="s">
        <v>5263</v>
      </c>
    </row>
    <row r="329" spans="1:14" ht="20.100000000000001" customHeight="1" x14ac:dyDescent="0.25">
      <c r="A329" s="36" t="s">
        <v>5259</v>
      </c>
      <c r="B329" s="37" t="s">
        <v>48</v>
      </c>
      <c r="C329" s="36">
        <v>9100543</v>
      </c>
      <c r="D329" s="37" t="s">
        <v>1628</v>
      </c>
      <c r="E329" s="36" t="s">
        <v>5264</v>
      </c>
      <c r="F329" s="21" t="str">
        <f>HYPERLINK("https://psearch.kitsapgov.com/webappa/index.html?parcelID=2611234&amp;Theme=Imagery","2611234")</f>
        <v>2611234</v>
      </c>
      <c r="G329" s="37" t="s">
        <v>5265</v>
      </c>
      <c r="H329" s="38">
        <v>44557</v>
      </c>
      <c r="I329" s="39">
        <v>35500000</v>
      </c>
      <c r="J329" s="40">
        <v>5.47</v>
      </c>
      <c r="K329" s="37" t="s">
        <v>5078</v>
      </c>
      <c r="L329" s="37" t="s">
        <v>38</v>
      </c>
      <c r="M329" s="37" t="s">
        <v>5262</v>
      </c>
      <c r="N329" s="37" t="s">
        <v>5263</v>
      </c>
    </row>
    <row r="330" spans="1:14" ht="20.100000000000001" customHeight="1" x14ac:dyDescent="0.25">
      <c r="A330" s="36" t="s">
        <v>5259</v>
      </c>
      <c r="B330" s="37" t="s">
        <v>105</v>
      </c>
      <c r="C330" s="36">
        <v>7100543</v>
      </c>
      <c r="D330" s="37" t="s">
        <v>4842</v>
      </c>
      <c r="E330" s="36" t="s">
        <v>5266</v>
      </c>
      <c r="F330" s="21" t="str">
        <f>HYPERLINK("https://psearch.kitsapgov.com/webappa/index.html?parcelID=2212405&amp;Theme=Imagery","2212405")</f>
        <v>2212405</v>
      </c>
      <c r="G330" s="37" t="s">
        <v>5267</v>
      </c>
      <c r="H330" s="38">
        <v>44557</v>
      </c>
      <c r="I330" s="39">
        <v>35500000</v>
      </c>
      <c r="J330" s="40">
        <v>2.0099999999999998</v>
      </c>
      <c r="K330" s="37" t="s">
        <v>5268</v>
      </c>
      <c r="L330" s="37" t="s">
        <v>38</v>
      </c>
      <c r="M330" s="37" t="s">
        <v>5262</v>
      </c>
      <c r="N330" s="37" t="s">
        <v>5263</v>
      </c>
    </row>
    <row r="331" spans="1:14" ht="20.100000000000001" customHeight="1" x14ac:dyDescent="0.25">
      <c r="A331" s="36" t="s">
        <v>5259</v>
      </c>
      <c r="B331" s="37" t="s">
        <v>105</v>
      </c>
      <c r="C331" s="36">
        <v>9100543</v>
      </c>
      <c r="D331" s="37" t="s">
        <v>1628</v>
      </c>
      <c r="E331" s="36" t="s">
        <v>5269</v>
      </c>
      <c r="F331" s="21" t="str">
        <f>HYPERLINK("https://psearch.kitsapgov.com/webappa/index.html?parcelID=2212421&amp;Theme=Imagery","2212421")</f>
        <v>2212421</v>
      </c>
      <c r="G331" s="37" t="s">
        <v>5267</v>
      </c>
      <c r="H331" s="38">
        <v>44557</v>
      </c>
      <c r="I331" s="39">
        <v>35500000</v>
      </c>
      <c r="J331" s="40">
        <v>0.79</v>
      </c>
      <c r="K331" s="37" t="s">
        <v>5078</v>
      </c>
      <c r="L331" s="37" t="s">
        <v>38</v>
      </c>
      <c r="M331" s="37" t="s">
        <v>5262</v>
      </c>
      <c r="N331" s="37" t="s">
        <v>5263</v>
      </c>
    </row>
    <row r="332" spans="1:14" ht="20.100000000000001" customHeight="1" x14ac:dyDescent="0.25">
      <c r="A332" s="36" t="s">
        <v>5259</v>
      </c>
      <c r="B332" s="37" t="s">
        <v>262</v>
      </c>
      <c r="C332" s="36">
        <v>9100543</v>
      </c>
      <c r="D332" s="37" t="s">
        <v>1628</v>
      </c>
      <c r="E332" s="36" t="s">
        <v>5270</v>
      </c>
      <c r="F332" s="21" t="str">
        <f>HYPERLINK("https://psearch.kitsapgov.com/webappa/index.html?parcelID=2212439&amp;Theme=Imagery","2212439")</f>
        <v>2212439</v>
      </c>
      <c r="G332" s="37" t="s">
        <v>5271</v>
      </c>
      <c r="H332" s="38">
        <v>44557</v>
      </c>
      <c r="I332" s="39">
        <v>35500000</v>
      </c>
      <c r="J332" s="40">
        <v>0.39</v>
      </c>
      <c r="K332" s="37" t="s">
        <v>5078</v>
      </c>
      <c r="L332" s="37" t="s">
        <v>38</v>
      </c>
      <c r="M332" s="37" t="s">
        <v>5262</v>
      </c>
      <c r="N332" s="37" t="s">
        <v>5263</v>
      </c>
    </row>
    <row r="333" spans="1:14" ht="20.100000000000001" customHeight="1" x14ac:dyDescent="0.25">
      <c r="A333" s="36" t="s">
        <v>5259</v>
      </c>
      <c r="B333" s="37" t="s">
        <v>105</v>
      </c>
      <c r="C333" s="36">
        <v>7100543</v>
      </c>
      <c r="D333" s="37" t="s">
        <v>4842</v>
      </c>
      <c r="E333" s="36" t="s">
        <v>5272</v>
      </c>
      <c r="F333" s="21" t="str">
        <f>HYPERLINK("https://psearch.kitsapgov.com/webappa/index.html?parcelID=2212447&amp;Theme=Imagery","2212447")</f>
        <v>2212447</v>
      </c>
      <c r="G333" s="37" t="s">
        <v>5273</v>
      </c>
      <c r="H333" s="38">
        <v>44557</v>
      </c>
      <c r="I333" s="39">
        <v>35500000</v>
      </c>
      <c r="J333" s="40">
        <v>0.3</v>
      </c>
      <c r="K333" s="37" t="s">
        <v>5268</v>
      </c>
      <c r="L333" s="37" t="s">
        <v>38</v>
      </c>
      <c r="M333" s="37" t="s">
        <v>5262</v>
      </c>
      <c r="N333" s="37" t="s">
        <v>5263</v>
      </c>
    </row>
    <row r="334" spans="1:14" ht="20.100000000000001" customHeight="1" x14ac:dyDescent="0.25">
      <c r="A334" s="36" t="s">
        <v>5259</v>
      </c>
      <c r="B334" s="37" t="s">
        <v>3685</v>
      </c>
      <c r="C334" s="36">
        <v>9100543</v>
      </c>
      <c r="D334" s="37" t="s">
        <v>1628</v>
      </c>
      <c r="E334" s="36" t="s">
        <v>5274</v>
      </c>
      <c r="F334" s="21" t="str">
        <f>HYPERLINK("https://psearch.kitsapgov.com/webappa/index.html?parcelID=2212454&amp;Theme=Imagery","2212454")</f>
        <v>2212454</v>
      </c>
      <c r="G334" s="37" t="s">
        <v>5275</v>
      </c>
      <c r="H334" s="38">
        <v>44557</v>
      </c>
      <c r="I334" s="39">
        <v>35500000</v>
      </c>
      <c r="J334" s="40">
        <v>5.09</v>
      </c>
      <c r="L334" s="37" t="s">
        <v>38</v>
      </c>
      <c r="M334" s="37" t="s">
        <v>5262</v>
      </c>
      <c r="N334" s="37" t="s">
        <v>5263</v>
      </c>
    </row>
    <row r="335" spans="1:14" ht="39.950000000000003" customHeight="1" x14ac:dyDescent="0.25">
      <c r="A335" s="36" t="s">
        <v>5276</v>
      </c>
      <c r="B335" s="37" t="s">
        <v>185</v>
      </c>
      <c r="C335" s="36">
        <v>9400203</v>
      </c>
      <c r="D335" s="37" t="s">
        <v>49</v>
      </c>
      <c r="E335" s="36" t="s">
        <v>5277</v>
      </c>
      <c r="F335" s="21" t="str">
        <f>HYPERLINK("https://psearch.kitsapgov.com/webappa/index.html?parcelID=2444487&amp;Theme=Imagery","2444487")</f>
        <v>2444487</v>
      </c>
      <c r="G335" s="37" t="s">
        <v>5278</v>
      </c>
      <c r="H335" s="38">
        <v>44559</v>
      </c>
      <c r="I335" s="39">
        <v>579000</v>
      </c>
      <c r="J335" s="40">
        <v>1.43</v>
      </c>
      <c r="K335" s="37" t="s">
        <v>471</v>
      </c>
      <c r="L335" s="37" t="s">
        <v>4552</v>
      </c>
      <c r="M335" s="37" t="s">
        <v>5279</v>
      </c>
      <c r="N335" s="37" t="s">
        <v>5280</v>
      </c>
    </row>
    <row r="336" spans="1:14" ht="20.100000000000001" customHeight="1" x14ac:dyDescent="0.25">
      <c r="A336" s="36" t="s">
        <v>5276</v>
      </c>
      <c r="B336" s="37" t="s">
        <v>185</v>
      </c>
      <c r="C336" s="36">
        <v>9400203</v>
      </c>
      <c r="D336" s="37" t="s">
        <v>49</v>
      </c>
      <c r="E336" s="36" t="s">
        <v>5281</v>
      </c>
      <c r="F336" s="21" t="str">
        <f>HYPERLINK("https://psearch.kitsapgov.com/webappa/index.html?parcelID=2453678&amp;Theme=Imagery","2453678")</f>
        <v>2453678</v>
      </c>
      <c r="G336" s="37" t="s">
        <v>5282</v>
      </c>
      <c r="H336" s="38">
        <v>44559</v>
      </c>
      <c r="I336" s="39">
        <v>579000</v>
      </c>
      <c r="J336" s="40">
        <v>0.42</v>
      </c>
      <c r="K336" s="37" t="s">
        <v>5283</v>
      </c>
      <c r="L336" s="37" t="s">
        <v>4552</v>
      </c>
      <c r="M336" s="37" t="s">
        <v>5279</v>
      </c>
      <c r="N336" s="37" t="s">
        <v>5280</v>
      </c>
    </row>
    <row r="337" spans="1:14" ht="39.950000000000003" customHeight="1" x14ac:dyDescent="0.25">
      <c r="A337" s="36" t="s">
        <v>5284</v>
      </c>
      <c r="B337" s="37" t="s">
        <v>459</v>
      </c>
      <c r="C337" s="36">
        <v>8400202</v>
      </c>
      <c r="D337" s="37" t="s">
        <v>440</v>
      </c>
      <c r="E337" s="36" t="s">
        <v>5285</v>
      </c>
      <c r="F337" s="21" t="str">
        <f>HYPERLINK("https://psearch.kitsapgov.com/webappa/index.html?parcelID=2223121&amp;Theme=Imagery","2223121")</f>
        <v>2223121</v>
      </c>
      <c r="G337" s="37" t="s">
        <v>5286</v>
      </c>
      <c r="H337" s="38">
        <v>44545</v>
      </c>
      <c r="I337" s="39">
        <v>17300000</v>
      </c>
      <c r="J337" s="40">
        <v>0.33</v>
      </c>
      <c r="K337" s="37" t="s">
        <v>443</v>
      </c>
      <c r="L337" s="37" t="s">
        <v>38</v>
      </c>
      <c r="M337" s="37" t="s">
        <v>5287</v>
      </c>
      <c r="N337" s="37" t="s">
        <v>5288</v>
      </c>
    </row>
    <row r="338" spans="1:14" ht="20.100000000000001" customHeight="1" x14ac:dyDescent="0.25">
      <c r="A338" s="36" t="s">
        <v>5284</v>
      </c>
      <c r="B338" s="37" t="s">
        <v>24</v>
      </c>
      <c r="C338" s="36">
        <v>8400202</v>
      </c>
      <c r="D338" s="37" t="s">
        <v>440</v>
      </c>
      <c r="E338" s="36" t="s">
        <v>5289</v>
      </c>
      <c r="F338" s="21" t="str">
        <f>HYPERLINK("https://psearch.kitsapgov.com/webappa/index.html?parcelID=2223139&amp;Theme=Imagery","2223139")</f>
        <v>2223139</v>
      </c>
      <c r="G338" s="37" t="s">
        <v>5290</v>
      </c>
      <c r="H338" s="38">
        <v>44545</v>
      </c>
      <c r="I338" s="39">
        <v>17300000</v>
      </c>
      <c r="J338" s="40">
        <v>1.44</v>
      </c>
      <c r="K338" s="37" t="s">
        <v>443</v>
      </c>
      <c r="L338" s="37" t="s">
        <v>38</v>
      </c>
      <c r="M338" s="37" t="s">
        <v>5291</v>
      </c>
      <c r="N338" s="37" t="s">
        <v>5292</v>
      </c>
    </row>
    <row r="339" spans="1:14" ht="20.100000000000001" customHeight="1" x14ac:dyDescent="0.25">
      <c r="A339" s="36" t="s">
        <v>5284</v>
      </c>
      <c r="B339" s="37" t="s">
        <v>24</v>
      </c>
      <c r="C339" s="36">
        <v>8400202</v>
      </c>
      <c r="D339" s="37" t="s">
        <v>440</v>
      </c>
      <c r="E339" s="36" t="s">
        <v>5293</v>
      </c>
      <c r="F339" s="21" t="str">
        <f>HYPERLINK("https://psearch.kitsapgov.com/webappa/index.html?parcelID=2640670&amp;Theme=Imagery","2640670")</f>
        <v>2640670</v>
      </c>
      <c r="G339" s="37" t="s">
        <v>5294</v>
      </c>
      <c r="H339" s="38">
        <v>44545</v>
      </c>
      <c r="I339" s="39">
        <v>17300000</v>
      </c>
      <c r="J339" s="40">
        <v>0.74</v>
      </c>
      <c r="K339" s="37" t="s">
        <v>443</v>
      </c>
      <c r="L339" s="37" t="s">
        <v>38</v>
      </c>
      <c r="M339" s="37" t="s">
        <v>5291</v>
      </c>
      <c r="N339" s="37" t="s">
        <v>5292</v>
      </c>
    </row>
    <row r="340" spans="1:14" ht="39.950000000000003" customHeight="1" x14ac:dyDescent="0.25">
      <c r="A340" s="36" t="s">
        <v>5295</v>
      </c>
      <c r="B340" s="37" t="s">
        <v>262</v>
      </c>
      <c r="C340" s="36">
        <v>8401104</v>
      </c>
      <c r="D340" s="37" t="s">
        <v>241</v>
      </c>
      <c r="E340" s="36" t="s">
        <v>5296</v>
      </c>
      <c r="F340" s="21" t="str">
        <f>HYPERLINK("https://psearch.kitsapgov.com/webappa/index.html?parcelID=2652311&amp;Theme=Imagery","2652311")</f>
        <v>2652311</v>
      </c>
      <c r="G340" s="37" t="s">
        <v>5297</v>
      </c>
      <c r="H340" s="38">
        <v>44567</v>
      </c>
      <c r="I340" s="39">
        <v>2460000</v>
      </c>
      <c r="J340" s="40">
        <v>0.57999999999999996</v>
      </c>
      <c r="K340" s="37" t="s">
        <v>82</v>
      </c>
      <c r="L340" s="37" t="s">
        <v>4517</v>
      </c>
      <c r="M340" s="37" t="s">
        <v>5298</v>
      </c>
      <c r="N340" s="37" t="s">
        <v>5299</v>
      </c>
    </row>
    <row r="341" spans="1:14" ht="20.100000000000001" customHeight="1" x14ac:dyDescent="0.25">
      <c r="A341" s="36" t="s">
        <v>5295</v>
      </c>
      <c r="B341" s="37" t="s">
        <v>172</v>
      </c>
      <c r="C341" s="36">
        <v>8401104</v>
      </c>
      <c r="D341" s="37" t="s">
        <v>241</v>
      </c>
      <c r="E341" s="36" t="s">
        <v>5300</v>
      </c>
      <c r="F341" s="21" t="str">
        <f>HYPERLINK("https://psearch.kitsapgov.com/webappa/index.html?parcelID=2652329&amp;Theme=Imagery","2652329")</f>
        <v>2652329</v>
      </c>
      <c r="G341" s="37" t="s">
        <v>5301</v>
      </c>
      <c r="H341" s="38">
        <v>44567</v>
      </c>
      <c r="I341" s="39">
        <v>2460000</v>
      </c>
      <c r="J341" s="40">
        <v>0.6</v>
      </c>
      <c r="K341" s="37" t="s">
        <v>82</v>
      </c>
      <c r="L341" s="37" t="s">
        <v>4517</v>
      </c>
      <c r="M341" s="37" t="s">
        <v>5298</v>
      </c>
      <c r="N341" s="37" t="s">
        <v>5299</v>
      </c>
    </row>
    <row r="342" spans="1:14" ht="39.950000000000003" customHeight="1" x14ac:dyDescent="0.25">
      <c r="A342" s="36" t="s">
        <v>5302</v>
      </c>
      <c r="B342" s="37" t="s">
        <v>105</v>
      </c>
      <c r="C342" s="36">
        <v>9402390</v>
      </c>
      <c r="D342" s="37" t="s">
        <v>173</v>
      </c>
      <c r="E342" s="36" t="s">
        <v>5303</v>
      </c>
      <c r="F342" s="21" t="str">
        <f>HYPERLINK("https://psearch.kitsapgov.com/webappa/index.html?parcelID=1174382&amp;Theme=Imagery","1174382")</f>
        <v>1174382</v>
      </c>
      <c r="G342" s="37" t="s">
        <v>5304</v>
      </c>
      <c r="H342" s="38">
        <v>44573</v>
      </c>
      <c r="I342" s="39">
        <v>1440000</v>
      </c>
      <c r="J342" s="40">
        <v>4.83</v>
      </c>
      <c r="K342" s="37" t="s">
        <v>4673</v>
      </c>
      <c r="L342" s="37" t="s">
        <v>4552</v>
      </c>
      <c r="M342" s="37" t="s">
        <v>5305</v>
      </c>
      <c r="N342" s="37" t="s">
        <v>5306</v>
      </c>
    </row>
    <row r="343" spans="1:14" ht="20.100000000000001" customHeight="1" x14ac:dyDescent="0.25">
      <c r="A343" s="36" t="s">
        <v>5302</v>
      </c>
      <c r="B343" s="37" t="s">
        <v>105</v>
      </c>
      <c r="C343" s="36">
        <v>9402390</v>
      </c>
      <c r="D343" s="37" t="s">
        <v>173</v>
      </c>
      <c r="E343" s="36" t="s">
        <v>5307</v>
      </c>
      <c r="F343" s="21" t="str">
        <f>HYPERLINK("https://psearch.kitsapgov.com/webappa/index.html?parcelID=1730407&amp;Theme=Imagery","1730407")</f>
        <v>1730407</v>
      </c>
      <c r="G343" s="37" t="s">
        <v>5308</v>
      </c>
      <c r="H343" s="38">
        <v>44573</v>
      </c>
      <c r="I343" s="39">
        <v>1440000</v>
      </c>
      <c r="J343" s="40">
        <v>4.8099999999999996</v>
      </c>
      <c r="K343" s="37" t="s">
        <v>874</v>
      </c>
      <c r="L343" s="37" t="s">
        <v>4552</v>
      </c>
      <c r="M343" s="37" t="s">
        <v>5305</v>
      </c>
      <c r="N343" s="37" t="s">
        <v>5306</v>
      </c>
    </row>
    <row r="344" spans="1:14" ht="39.950000000000003" customHeight="1" x14ac:dyDescent="0.25">
      <c r="A344" s="36" t="s">
        <v>5309</v>
      </c>
      <c r="B344" s="37" t="s">
        <v>533</v>
      </c>
      <c r="C344" s="36">
        <v>9100592</v>
      </c>
      <c r="D344" s="37" t="s">
        <v>916</v>
      </c>
      <c r="E344" s="36" t="s">
        <v>2696</v>
      </c>
      <c r="F344" s="21" t="str">
        <f>HYPERLINK("https://psearch.kitsapgov.com/webappa/index.html?parcelID=1184498&amp;Theme=Imagery","1184498")</f>
        <v>1184498</v>
      </c>
      <c r="G344" s="37" t="s">
        <v>2697</v>
      </c>
      <c r="H344" s="38">
        <v>44587</v>
      </c>
      <c r="I344" s="39">
        <v>18000000</v>
      </c>
      <c r="J344" s="40">
        <v>0.36</v>
      </c>
      <c r="K344" s="37" t="s">
        <v>176</v>
      </c>
      <c r="L344" s="37" t="s">
        <v>38</v>
      </c>
      <c r="M344" s="37" t="s">
        <v>5310</v>
      </c>
      <c r="N344" s="37" t="s">
        <v>5311</v>
      </c>
    </row>
    <row r="345" spans="1:14" ht="20.100000000000001" customHeight="1" x14ac:dyDescent="0.25">
      <c r="A345" s="36" t="s">
        <v>5309</v>
      </c>
      <c r="B345" s="37" t="s">
        <v>533</v>
      </c>
      <c r="C345" s="36">
        <v>9100541</v>
      </c>
      <c r="D345" s="37" t="s">
        <v>186</v>
      </c>
      <c r="E345" s="36" t="s">
        <v>5312</v>
      </c>
      <c r="F345" s="21" t="str">
        <f>HYPERLINK("https://psearch.kitsapgov.com/webappa/index.html?parcelID=1143239&amp;Theme=Imagery","1143239")</f>
        <v>1143239</v>
      </c>
      <c r="G345" s="37" t="s">
        <v>5313</v>
      </c>
      <c r="H345" s="38">
        <v>44587</v>
      </c>
      <c r="I345" s="39">
        <v>18000000</v>
      </c>
      <c r="J345" s="40">
        <v>0.25</v>
      </c>
      <c r="K345" s="37" t="s">
        <v>377</v>
      </c>
      <c r="L345" s="37" t="s">
        <v>38</v>
      </c>
      <c r="M345" s="37" t="s">
        <v>5310</v>
      </c>
      <c r="N345" s="37" t="s">
        <v>5311</v>
      </c>
    </row>
    <row r="346" spans="1:14" ht="20.100000000000001" customHeight="1" x14ac:dyDescent="0.25">
      <c r="A346" s="36" t="s">
        <v>5309</v>
      </c>
      <c r="B346" s="37" t="s">
        <v>172</v>
      </c>
      <c r="C346" s="36">
        <v>9100541</v>
      </c>
      <c r="D346" s="37" t="s">
        <v>186</v>
      </c>
      <c r="E346" s="36" t="s">
        <v>4195</v>
      </c>
      <c r="F346" s="21" t="str">
        <f>HYPERLINK("https://psearch.kitsapgov.com/webappa/index.html?parcelID=1148493&amp;Theme=Imagery","1148493")</f>
        <v>1148493</v>
      </c>
      <c r="G346" s="37" t="s">
        <v>4196</v>
      </c>
      <c r="H346" s="38">
        <v>44587</v>
      </c>
      <c r="I346" s="39">
        <v>18000000</v>
      </c>
      <c r="J346" s="40">
        <v>0.78</v>
      </c>
      <c r="K346" s="37" t="s">
        <v>377</v>
      </c>
      <c r="L346" s="37" t="s">
        <v>38</v>
      </c>
      <c r="M346" s="37" t="s">
        <v>5310</v>
      </c>
      <c r="N346" s="37" t="s">
        <v>5311</v>
      </c>
    </row>
    <row r="347" spans="1:14" ht="20.100000000000001" customHeight="1" x14ac:dyDescent="0.25">
      <c r="A347" s="36" t="s">
        <v>5309</v>
      </c>
      <c r="B347" s="37" t="s">
        <v>850</v>
      </c>
      <c r="C347" s="36">
        <v>7100541</v>
      </c>
      <c r="D347" s="37" t="s">
        <v>4507</v>
      </c>
      <c r="E347" s="36" t="s">
        <v>5314</v>
      </c>
      <c r="F347" s="21" t="str">
        <f>HYPERLINK("https://psearch.kitsapgov.com/webappa/index.html?parcelID=1420967&amp;Theme=Imagery","1420967")</f>
        <v>1420967</v>
      </c>
      <c r="G347" s="37" t="s">
        <v>3019</v>
      </c>
      <c r="H347" s="38">
        <v>44587</v>
      </c>
      <c r="I347" s="39">
        <v>18000000</v>
      </c>
      <c r="J347" s="40">
        <v>0.22</v>
      </c>
      <c r="K347" s="37" t="s">
        <v>377</v>
      </c>
      <c r="L347" s="37" t="s">
        <v>38</v>
      </c>
      <c r="M347" s="37" t="s">
        <v>5315</v>
      </c>
      <c r="N347" s="37" t="s">
        <v>5316</v>
      </c>
    </row>
    <row r="348" spans="1:14" ht="20.100000000000001" customHeight="1" x14ac:dyDescent="0.25">
      <c r="A348" s="36" t="s">
        <v>5309</v>
      </c>
      <c r="B348" s="37" t="s">
        <v>850</v>
      </c>
      <c r="C348" s="36">
        <v>7100541</v>
      </c>
      <c r="D348" s="37" t="s">
        <v>4507</v>
      </c>
      <c r="E348" s="36" t="s">
        <v>5317</v>
      </c>
      <c r="F348" s="21" t="str">
        <f>HYPERLINK("https://psearch.kitsapgov.com/webappa/index.html?parcelID=1421064&amp;Theme=Imagery","1421064")</f>
        <v>1421064</v>
      </c>
      <c r="G348" s="37" t="s">
        <v>3019</v>
      </c>
      <c r="H348" s="38">
        <v>44587</v>
      </c>
      <c r="I348" s="39">
        <v>18000000</v>
      </c>
      <c r="J348" s="40">
        <v>0.18</v>
      </c>
      <c r="K348" s="37" t="s">
        <v>377</v>
      </c>
      <c r="L348" s="37" t="s">
        <v>38</v>
      </c>
      <c r="M348" s="37" t="s">
        <v>5315</v>
      </c>
      <c r="N348" s="37" t="s">
        <v>5316</v>
      </c>
    </row>
    <row r="349" spans="1:14" ht="20.100000000000001" customHeight="1" x14ac:dyDescent="0.25">
      <c r="A349" s="36" t="s">
        <v>5309</v>
      </c>
      <c r="B349" s="37" t="s">
        <v>850</v>
      </c>
      <c r="C349" s="36">
        <v>7100541</v>
      </c>
      <c r="D349" s="37" t="s">
        <v>4507</v>
      </c>
      <c r="E349" s="36" t="s">
        <v>5318</v>
      </c>
      <c r="F349" s="21" t="str">
        <f>HYPERLINK("https://psearch.kitsapgov.com/webappa/index.html?parcelID=1421106&amp;Theme=Imagery","1421106")</f>
        <v>1421106</v>
      </c>
      <c r="G349" s="37" t="s">
        <v>3019</v>
      </c>
      <c r="H349" s="38">
        <v>44587</v>
      </c>
      <c r="I349" s="39">
        <v>18000000</v>
      </c>
      <c r="J349" s="40">
        <v>0.15</v>
      </c>
      <c r="K349" s="37" t="s">
        <v>377</v>
      </c>
      <c r="L349" s="37" t="s">
        <v>38</v>
      </c>
      <c r="M349" s="37" t="s">
        <v>5315</v>
      </c>
      <c r="N349" s="37" t="s">
        <v>5316</v>
      </c>
    </row>
    <row r="350" spans="1:14" ht="20.100000000000001" customHeight="1" x14ac:dyDescent="0.25">
      <c r="A350" s="36" t="s">
        <v>5309</v>
      </c>
      <c r="B350" s="37" t="s">
        <v>850</v>
      </c>
      <c r="C350" s="36">
        <v>7100541</v>
      </c>
      <c r="D350" s="37" t="s">
        <v>4507</v>
      </c>
      <c r="E350" s="36" t="s">
        <v>5319</v>
      </c>
      <c r="F350" s="21" t="str">
        <f>HYPERLINK("https://psearch.kitsapgov.com/webappa/index.html?parcelID=1421148&amp;Theme=Imagery","1421148")</f>
        <v>1421148</v>
      </c>
      <c r="G350" s="37" t="s">
        <v>3019</v>
      </c>
      <c r="H350" s="38">
        <v>44587</v>
      </c>
      <c r="I350" s="39">
        <v>18000000</v>
      </c>
      <c r="J350" s="40">
        <v>0.12</v>
      </c>
      <c r="K350" s="37" t="s">
        <v>377</v>
      </c>
      <c r="L350" s="37" t="s">
        <v>38</v>
      </c>
      <c r="M350" s="37" t="s">
        <v>5315</v>
      </c>
      <c r="N350" s="37" t="s">
        <v>5316</v>
      </c>
    </row>
    <row r="351" spans="1:14" ht="20.100000000000001" customHeight="1" x14ac:dyDescent="0.25">
      <c r="A351" s="36" t="s">
        <v>5309</v>
      </c>
      <c r="B351" s="37" t="s">
        <v>850</v>
      </c>
      <c r="C351" s="36">
        <v>7100541</v>
      </c>
      <c r="D351" s="37" t="s">
        <v>4507</v>
      </c>
      <c r="E351" s="36" t="s">
        <v>5320</v>
      </c>
      <c r="F351" s="21" t="str">
        <f>HYPERLINK("https://psearch.kitsapgov.com/webappa/index.html?parcelID=1421239&amp;Theme=Imagery","1421239")</f>
        <v>1421239</v>
      </c>
      <c r="G351" s="37" t="s">
        <v>3019</v>
      </c>
      <c r="H351" s="38">
        <v>44587</v>
      </c>
      <c r="I351" s="39">
        <v>18000000</v>
      </c>
      <c r="J351" s="40">
        <v>0.16</v>
      </c>
      <c r="K351" s="37" t="s">
        <v>377</v>
      </c>
      <c r="L351" s="37" t="s">
        <v>38</v>
      </c>
      <c r="M351" s="37" t="s">
        <v>5315</v>
      </c>
      <c r="N351" s="37" t="s">
        <v>5316</v>
      </c>
    </row>
    <row r="352" spans="1:14" ht="20.100000000000001" customHeight="1" x14ac:dyDescent="0.25">
      <c r="A352" s="36" t="s">
        <v>5309</v>
      </c>
      <c r="B352" s="37" t="s">
        <v>850</v>
      </c>
      <c r="C352" s="36">
        <v>7100541</v>
      </c>
      <c r="D352" s="37" t="s">
        <v>4507</v>
      </c>
      <c r="E352" s="36" t="s">
        <v>5321</v>
      </c>
      <c r="F352" s="21" t="str">
        <f>HYPERLINK("https://psearch.kitsapgov.com/webappa/index.html?parcelID=1421403&amp;Theme=Imagery","1421403")</f>
        <v>1421403</v>
      </c>
      <c r="G352" s="37" t="s">
        <v>3019</v>
      </c>
      <c r="H352" s="38">
        <v>44587</v>
      </c>
      <c r="I352" s="39">
        <v>18000000</v>
      </c>
      <c r="J352" s="40">
        <v>0.17</v>
      </c>
      <c r="K352" s="37" t="s">
        <v>377</v>
      </c>
      <c r="L352" s="37" t="s">
        <v>38</v>
      </c>
      <c r="M352" s="37" t="s">
        <v>5315</v>
      </c>
      <c r="N352" s="37" t="s">
        <v>5316</v>
      </c>
    </row>
    <row r="353" spans="1:14" ht="20.100000000000001" customHeight="1" x14ac:dyDescent="0.25">
      <c r="A353" s="36" t="s">
        <v>5309</v>
      </c>
      <c r="B353" s="37" t="s">
        <v>850</v>
      </c>
      <c r="C353" s="36">
        <v>7100541</v>
      </c>
      <c r="D353" s="37" t="s">
        <v>4507</v>
      </c>
      <c r="E353" s="36" t="s">
        <v>5322</v>
      </c>
      <c r="F353" s="21" t="str">
        <f>HYPERLINK("https://psearch.kitsapgov.com/webappa/index.html?parcelID=1421411&amp;Theme=Imagery","1421411")</f>
        <v>1421411</v>
      </c>
      <c r="G353" s="37" t="s">
        <v>3019</v>
      </c>
      <c r="H353" s="38">
        <v>44587</v>
      </c>
      <c r="I353" s="39">
        <v>18000000</v>
      </c>
      <c r="J353" s="40">
        <v>0.17</v>
      </c>
      <c r="K353" s="37" t="s">
        <v>377</v>
      </c>
      <c r="L353" s="37" t="s">
        <v>38</v>
      </c>
      <c r="M353" s="37" t="s">
        <v>5315</v>
      </c>
      <c r="N353" s="37" t="s">
        <v>5316</v>
      </c>
    </row>
    <row r="354" spans="1:14" ht="20.100000000000001" customHeight="1" x14ac:dyDescent="0.25">
      <c r="A354" s="36" t="s">
        <v>5309</v>
      </c>
      <c r="B354" s="37" t="s">
        <v>850</v>
      </c>
      <c r="C354" s="36">
        <v>7100541</v>
      </c>
      <c r="D354" s="37" t="s">
        <v>4507</v>
      </c>
      <c r="E354" s="36" t="s">
        <v>5323</v>
      </c>
      <c r="F354" s="21" t="str">
        <f>HYPERLINK("https://psearch.kitsapgov.com/webappa/index.html?parcelID=1421742&amp;Theme=Imagery","1421742")</f>
        <v>1421742</v>
      </c>
      <c r="G354" s="37" t="s">
        <v>3019</v>
      </c>
      <c r="H354" s="38">
        <v>44587</v>
      </c>
      <c r="I354" s="39">
        <v>18000000</v>
      </c>
      <c r="J354" s="40">
        <v>0.16</v>
      </c>
      <c r="K354" s="37" t="s">
        <v>377</v>
      </c>
      <c r="L354" s="37" t="s">
        <v>38</v>
      </c>
      <c r="M354" s="37" t="s">
        <v>5310</v>
      </c>
      <c r="N354" s="37" t="s">
        <v>5311</v>
      </c>
    </row>
    <row r="355" spans="1:14" ht="20.100000000000001" customHeight="1" x14ac:dyDescent="0.25">
      <c r="A355" s="36" t="s">
        <v>5309</v>
      </c>
      <c r="B355" s="37" t="s">
        <v>533</v>
      </c>
      <c r="C355" s="36">
        <v>9100541</v>
      </c>
      <c r="D355" s="37" t="s">
        <v>186</v>
      </c>
      <c r="E355" s="36" t="s">
        <v>5324</v>
      </c>
      <c r="F355" s="21" t="str">
        <f>HYPERLINK("https://psearch.kitsapgov.com/webappa/index.html?parcelID=1423250&amp;Theme=Imagery","1423250")</f>
        <v>1423250</v>
      </c>
      <c r="G355" s="37" t="s">
        <v>5325</v>
      </c>
      <c r="H355" s="38">
        <v>44587</v>
      </c>
      <c r="I355" s="39">
        <v>18000000</v>
      </c>
      <c r="J355" s="40">
        <v>0.11</v>
      </c>
      <c r="K355" s="37" t="s">
        <v>863</v>
      </c>
      <c r="L355" s="37" t="s">
        <v>38</v>
      </c>
      <c r="M355" s="37" t="s">
        <v>5310</v>
      </c>
      <c r="N355" s="37" t="s">
        <v>5311</v>
      </c>
    </row>
    <row r="356" spans="1:14" ht="20.100000000000001" customHeight="1" x14ac:dyDescent="0.25">
      <c r="A356" s="36" t="s">
        <v>5309</v>
      </c>
      <c r="B356" s="37" t="s">
        <v>850</v>
      </c>
      <c r="C356" s="36">
        <v>7100541</v>
      </c>
      <c r="D356" s="37" t="s">
        <v>4507</v>
      </c>
      <c r="E356" s="36" t="s">
        <v>5326</v>
      </c>
      <c r="F356" s="21" t="str">
        <f>HYPERLINK("https://psearch.kitsapgov.com/webappa/index.html?parcelID=1423722&amp;Theme=Imagery","1423722")</f>
        <v>1423722</v>
      </c>
      <c r="G356" s="37" t="s">
        <v>3019</v>
      </c>
      <c r="H356" s="38">
        <v>44587</v>
      </c>
      <c r="I356" s="39">
        <v>18000000</v>
      </c>
      <c r="J356" s="40">
        <v>0.16</v>
      </c>
      <c r="K356" s="37" t="s">
        <v>377</v>
      </c>
      <c r="L356" s="37" t="s">
        <v>38</v>
      </c>
      <c r="M356" s="37" t="s">
        <v>5310</v>
      </c>
      <c r="N356" s="37" t="s">
        <v>5311</v>
      </c>
    </row>
    <row r="357" spans="1:14" ht="20.100000000000001" customHeight="1" x14ac:dyDescent="0.25">
      <c r="A357" s="36" t="s">
        <v>5309</v>
      </c>
      <c r="B357" s="37" t="s">
        <v>850</v>
      </c>
      <c r="C357" s="36">
        <v>7100541</v>
      </c>
      <c r="D357" s="37" t="s">
        <v>4507</v>
      </c>
      <c r="E357" s="36" t="s">
        <v>5327</v>
      </c>
      <c r="F357" s="21" t="str">
        <f>HYPERLINK("https://psearch.kitsapgov.com/webappa/index.html?parcelID=1423730&amp;Theme=Imagery","1423730")</f>
        <v>1423730</v>
      </c>
      <c r="G357" s="37" t="s">
        <v>3019</v>
      </c>
      <c r="H357" s="38">
        <v>44587</v>
      </c>
      <c r="I357" s="39">
        <v>18000000</v>
      </c>
      <c r="J357" s="40">
        <v>0.18</v>
      </c>
      <c r="K357" s="37" t="s">
        <v>377</v>
      </c>
      <c r="L357" s="37" t="s">
        <v>38</v>
      </c>
      <c r="M357" s="37" t="s">
        <v>5310</v>
      </c>
      <c r="N357" s="37" t="s">
        <v>5311</v>
      </c>
    </row>
    <row r="358" spans="1:14" ht="20.100000000000001" customHeight="1" x14ac:dyDescent="0.25">
      <c r="A358" s="36" t="s">
        <v>5309</v>
      </c>
      <c r="B358" s="37" t="s">
        <v>850</v>
      </c>
      <c r="C358" s="36">
        <v>7100541</v>
      </c>
      <c r="D358" s="37" t="s">
        <v>4507</v>
      </c>
      <c r="E358" s="36" t="s">
        <v>5328</v>
      </c>
      <c r="F358" s="21" t="str">
        <f>HYPERLINK("https://psearch.kitsapgov.com/webappa/index.html?parcelID=1423839&amp;Theme=Imagery","1423839")</f>
        <v>1423839</v>
      </c>
      <c r="G358" s="37" t="s">
        <v>3019</v>
      </c>
      <c r="H358" s="38">
        <v>44587</v>
      </c>
      <c r="I358" s="39">
        <v>18000000</v>
      </c>
      <c r="J358" s="40">
        <v>0.18</v>
      </c>
      <c r="K358" s="37" t="s">
        <v>377</v>
      </c>
      <c r="L358" s="37" t="s">
        <v>38</v>
      </c>
      <c r="M358" s="37" t="s">
        <v>5310</v>
      </c>
      <c r="N358" s="37" t="s">
        <v>5311</v>
      </c>
    </row>
    <row r="359" spans="1:14" ht="20.100000000000001" customHeight="1" x14ac:dyDescent="0.25">
      <c r="A359" s="36" t="s">
        <v>5309</v>
      </c>
      <c r="B359" s="37" t="s">
        <v>850</v>
      </c>
      <c r="C359" s="36">
        <v>7100541</v>
      </c>
      <c r="D359" s="37" t="s">
        <v>4507</v>
      </c>
      <c r="E359" s="36" t="s">
        <v>5329</v>
      </c>
      <c r="F359" s="21" t="str">
        <f>HYPERLINK("https://psearch.kitsapgov.com/webappa/index.html?parcelID=1423847&amp;Theme=Imagery","1423847")</f>
        <v>1423847</v>
      </c>
      <c r="G359" s="37" t="s">
        <v>3019</v>
      </c>
      <c r="H359" s="38">
        <v>44587</v>
      </c>
      <c r="I359" s="39">
        <v>18000000</v>
      </c>
      <c r="J359" s="40">
        <v>0.16</v>
      </c>
      <c r="K359" s="37" t="s">
        <v>377</v>
      </c>
      <c r="L359" s="37" t="s">
        <v>38</v>
      </c>
      <c r="M359" s="37" t="s">
        <v>5310</v>
      </c>
      <c r="N359" s="37" t="s">
        <v>5311</v>
      </c>
    </row>
    <row r="360" spans="1:14" ht="20.100000000000001" customHeight="1" x14ac:dyDescent="0.25">
      <c r="A360" s="36" t="s">
        <v>5309</v>
      </c>
      <c r="B360" s="37" t="s">
        <v>172</v>
      </c>
      <c r="C360" s="36">
        <v>9100541</v>
      </c>
      <c r="D360" s="37" t="s">
        <v>186</v>
      </c>
      <c r="E360" s="36" t="s">
        <v>2993</v>
      </c>
      <c r="F360" s="21" t="str">
        <f>HYPERLINK("https://psearch.kitsapgov.com/webappa/index.html?parcelID=1441401&amp;Theme=Imagery","1441401")</f>
        <v>1441401</v>
      </c>
      <c r="G360" s="37" t="s">
        <v>2994</v>
      </c>
      <c r="H360" s="38">
        <v>44587</v>
      </c>
      <c r="I360" s="39">
        <v>18000000</v>
      </c>
      <c r="J360" s="40">
        <v>0.17</v>
      </c>
      <c r="K360" s="37" t="s">
        <v>377</v>
      </c>
      <c r="L360" s="37" t="s">
        <v>38</v>
      </c>
      <c r="M360" s="37" t="s">
        <v>5310</v>
      </c>
      <c r="N360" s="37" t="s">
        <v>5311</v>
      </c>
    </row>
    <row r="361" spans="1:14" ht="20.100000000000001" customHeight="1" x14ac:dyDescent="0.25">
      <c r="A361" s="36" t="s">
        <v>5309</v>
      </c>
      <c r="B361" s="37" t="s">
        <v>172</v>
      </c>
      <c r="C361" s="36">
        <v>9100541</v>
      </c>
      <c r="D361" s="37" t="s">
        <v>186</v>
      </c>
      <c r="E361" s="36" t="s">
        <v>3955</v>
      </c>
      <c r="F361" s="21" t="str">
        <f>HYPERLINK("https://psearch.kitsapgov.com/webappa/index.html?parcelID=1455005&amp;Theme=Imagery","1455005")</f>
        <v>1455005</v>
      </c>
      <c r="G361" s="37" t="s">
        <v>3956</v>
      </c>
      <c r="H361" s="38">
        <v>44587</v>
      </c>
      <c r="I361" s="39">
        <v>18000000</v>
      </c>
      <c r="J361" s="40">
        <v>0.2</v>
      </c>
      <c r="K361" s="37" t="s">
        <v>377</v>
      </c>
      <c r="L361" s="37" t="s">
        <v>38</v>
      </c>
      <c r="M361" s="37" t="s">
        <v>5310</v>
      </c>
      <c r="N361" s="37" t="s">
        <v>5311</v>
      </c>
    </row>
    <row r="362" spans="1:14" ht="20.100000000000001" customHeight="1" x14ac:dyDescent="0.25">
      <c r="A362" s="36" t="s">
        <v>5309</v>
      </c>
      <c r="B362" s="37" t="s">
        <v>317</v>
      </c>
      <c r="C362" s="36">
        <v>9100541</v>
      </c>
      <c r="D362" s="37" t="s">
        <v>186</v>
      </c>
      <c r="E362" s="36" t="s">
        <v>5330</v>
      </c>
      <c r="F362" s="21" t="str">
        <f>HYPERLINK("https://psearch.kitsapgov.com/webappa/index.html?parcelID=1455088&amp;Theme=Imagery","1455088")</f>
        <v>1455088</v>
      </c>
      <c r="G362" s="37" t="s">
        <v>5331</v>
      </c>
      <c r="H362" s="38">
        <v>44587</v>
      </c>
      <c r="I362" s="39">
        <v>18000000</v>
      </c>
      <c r="J362" s="40">
        <v>0.16</v>
      </c>
      <c r="K362" s="37" t="s">
        <v>377</v>
      </c>
      <c r="L362" s="37" t="s">
        <v>38</v>
      </c>
      <c r="M362" s="37" t="s">
        <v>5310</v>
      </c>
      <c r="N362" s="37" t="s">
        <v>5311</v>
      </c>
    </row>
    <row r="363" spans="1:14" ht="20.100000000000001" customHeight="1" x14ac:dyDescent="0.25">
      <c r="A363" s="36" t="s">
        <v>5309</v>
      </c>
      <c r="B363" s="37" t="s">
        <v>850</v>
      </c>
      <c r="C363" s="36">
        <v>7100591</v>
      </c>
      <c r="D363" s="37" t="s">
        <v>5332</v>
      </c>
      <c r="E363" s="36" t="s">
        <v>5333</v>
      </c>
      <c r="F363" s="21" t="str">
        <f>HYPERLINK("https://psearch.kitsapgov.com/webappa/index.html?parcelID=1457431&amp;Theme=Imagery","1457431")</f>
        <v>1457431</v>
      </c>
      <c r="G363" s="37" t="s">
        <v>3019</v>
      </c>
      <c r="H363" s="38">
        <v>44587</v>
      </c>
      <c r="I363" s="39">
        <v>18000000</v>
      </c>
      <c r="J363" s="40">
        <v>0.2</v>
      </c>
      <c r="K363" s="37" t="s">
        <v>912</v>
      </c>
      <c r="L363" s="37" t="s">
        <v>38</v>
      </c>
      <c r="M363" s="37" t="s">
        <v>5315</v>
      </c>
      <c r="N363" s="37" t="s">
        <v>5316</v>
      </c>
    </row>
    <row r="364" spans="1:14" ht="20.100000000000001" customHeight="1" x14ac:dyDescent="0.25">
      <c r="A364" s="36" t="s">
        <v>5309</v>
      </c>
      <c r="B364" s="37" t="s">
        <v>78</v>
      </c>
      <c r="C364" s="36">
        <v>7100591</v>
      </c>
      <c r="D364" s="37" t="s">
        <v>5332</v>
      </c>
      <c r="E364" s="36" t="s">
        <v>5334</v>
      </c>
      <c r="F364" s="21" t="str">
        <f>HYPERLINK("https://psearch.kitsapgov.com/webappa/index.html?parcelID=1457449&amp;Theme=Imagery","1457449")</f>
        <v>1457449</v>
      </c>
      <c r="G364" s="37" t="s">
        <v>3019</v>
      </c>
      <c r="H364" s="38">
        <v>44587</v>
      </c>
      <c r="I364" s="39">
        <v>18000000</v>
      </c>
      <c r="J364" s="40">
        <v>0.63</v>
      </c>
      <c r="K364" s="37" t="s">
        <v>912</v>
      </c>
      <c r="L364" s="37" t="s">
        <v>38</v>
      </c>
      <c r="M364" s="37" t="s">
        <v>5315</v>
      </c>
      <c r="N364" s="37" t="s">
        <v>5316</v>
      </c>
    </row>
    <row r="365" spans="1:14" ht="20.100000000000001" customHeight="1" x14ac:dyDescent="0.25">
      <c r="A365" s="36" t="s">
        <v>5309</v>
      </c>
      <c r="B365" s="37" t="s">
        <v>850</v>
      </c>
      <c r="C365" s="36">
        <v>7100541</v>
      </c>
      <c r="D365" s="37" t="s">
        <v>4507</v>
      </c>
      <c r="E365" s="36" t="s">
        <v>5335</v>
      </c>
      <c r="F365" s="21" t="str">
        <f>HYPERLINK("https://psearch.kitsapgov.com/webappa/index.html?parcelID=1462498&amp;Theme=Imagery","1462498")</f>
        <v>1462498</v>
      </c>
      <c r="G365" s="37" t="s">
        <v>5336</v>
      </c>
      <c r="H365" s="38">
        <v>44587</v>
      </c>
      <c r="I365" s="39">
        <v>18000000</v>
      </c>
      <c r="J365" s="40">
        <v>0.15</v>
      </c>
      <c r="K365" s="37" t="s">
        <v>377</v>
      </c>
      <c r="L365" s="37" t="s">
        <v>38</v>
      </c>
      <c r="M365" s="37" t="s">
        <v>5310</v>
      </c>
      <c r="N365" s="37" t="s">
        <v>5311</v>
      </c>
    </row>
    <row r="366" spans="1:14" ht="20.100000000000001" customHeight="1" x14ac:dyDescent="0.25">
      <c r="A366" s="36" t="s">
        <v>5309</v>
      </c>
      <c r="B366" s="37" t="s">
        <v>850</v>
      </c>
      <c r="C366" s="36">
        <v>7100541</v>
      </c>
      <c r="D366" s="37" t="s">
        <v>4507</v>
      </c>
      <c r="E366" s="36" t="s">
        <v>5337</v>
      </c>
      <c r="F366" s="21" t="str">
        <f>HYPERLINK("https://psearch.kitsapgov.com/webappa/index.html?parcelID=1463843&amp;Theme=Imagery","1463843")</f>
        <v>1463843</v>
      </c>
      <c r="G366" s="37" t="s">
        <v>5338</v>
      </c>
      <c r="H366" s="38">
        <v>44587</v>
      </c>
      <c r="I366" s="39">
        <v>18000000</v>
      </c>
      <c r="J366" s="40">
        <v>0.21</v>
      </c>
      <c r="K366" s="37" t="s">
        <v>377</v>
      </c>
      <c r="L366" s="37" t="s">
        <v>38</v>
      </c>
      <c r="M366" s="37" t="s">
        <v>5310</v>
      </c>
      <c r="N366" s="37" t="s">
        <v>5311</v>
      </c>
    </row>
    <row r="367" spans="1:14" ht="20.100000000000001" customHeight="1" x14ac:dyDescent="0.25">
      <c r="A367" s="36" t="s">
        <v>5309</v>
      </c>
      <c r="B367" s="37" t="s">
        <v>850</v>
      </c>
      <c r="C367" s="36">
        <v>7100541</v>
      </c>
      <c r="D367" s="37" t="s">
        <v>4507</v>
      </c>
      <c r="E367" s="36" t="s">
        <v>5339</v>
      </c>
      <c r="F367" s="21" t="str">
        <f>HYPERLINK("https://psearch.kitsapgov.com/webappa/index.html?parcelID=2196988&amp;Theme=Imagery","2196988")</f>
        <v>2196988</v>
      </c>
      <c r="G367" s="37" t="s">
        <v>3019</v>
      </c>
      <c r="H367" s="38">
        <v>44587</v>
      </c>
      <c r="I367" s="39">
        <v>18000000</v>
      </c>
      <c r="J367" s="40">
        <v>0.16</v>
      </c>
      <c r="K367" s="37" t="s">
        <v>377</v>
      </c>
      <c r="L367" s="37" t="s">
        <v>38</v>
      </c>
      <c r="M367" s="37" t="s">
        <v>5315</v>
      </c>
      <c r="N367" s="37" t="s">
        <v>5316</v>
      </c>
    </row>
    <row r="368" spans="1:14" ht="20.100000000000001" customHeight="1" x14ac:dyDescent="0.25">
      <c r="A368" s="36" t="s">
        <v>5309</v>
      </c>
      <c r="B368" s="37" t="s">
        <v>850</v>
      </c>
      <c r="C368" s="36">
        <v>7100541</v>
      </c>
      <c r="D368" s="37" t="s">
        <v>4507</v>
      </c>
      <c r="E368" s="36" t="s">
        <v>5340</v>
      </c>
      <c r="F368" s="21" t="str">
        <f>HYPERLINK("https://psearch.kitsapgov.com/webappa/index.html?parcelID=2196996&amp;Theme=Imagery","2196996")</f>
        <v>2196996</v>
      </c>
      <c r="G368" s="37" t="s">
        <v>3019</v>
      </c>
      <c r="H368" s="38">
        <v>44587</v>
      </c>
      <c r="I368" s="39">
        <v>18000000</v>
      </c>
      <c r="J368" s="40">
        <v>0.16</v>
      </c>
      <c r="K368" s="37" t="s">
        <v>377</v>
      </c>
      <c r="L368" s="37" t="s">
        <v>38</v>
      </c>
      <c r="M368" s="37" t="s">
        <v>5315</v>
      </c>
      <c r="N368" s="37" t="s">
        <v>5316</v>
      </c>
    </row>
    <row r="369" spans="1:14" ht="20.100000000000001" customHeight="1" x14ac:dyDescent="0.25">
      <c r="A369" s="36" t="s">
        <v>5309</v>
      </c>
      <c r="B369" s="37" t="s">
        <v>850</v>
      </c>
      <c r="C369" s="36">
        <v>7100541</v>
      </c>
      <c r="D369" s="37" t="s">
        <v>4507</v>
      </c>
      <c r="E369" s="36" t="s">
        <v>5341</v>
      </c>
      <c r="F369" s="21" t="str">
        <f>HYPERLINK("https://psearch.kitsapgov.com/webappa/index.html?parcelID=2197002&amp;Theme=Imagery","2197002")</f>
        <v>2197002</v>
      </c>
      <c r="G369" s="37" t="s">
        <v>3019</v>
      </c>
      <c r="H369" s="38">
        <v>44587</v>
      </c>
      <c r="I369" s="39">
        <v>18000000</v>
      </c>
      <c r="J369" s="40">
        <v>0.17</v>
      </c>
      <c r="K369" s="37" t="s">
        <v>377</v>
      </c>
      <c r="L369" s="37" t="s">
        <v>38</v>
      </c>
      <c r="M369" s="37" t="s">
        <v>5315</v>
      </c>
      <c r="N369" s="37" t="s">
        <v>5316</v>
      </c>
    </row>
    <row r="370" spans="1:14" ht="20.100000000000001" customHeight="1" x14ac:dyDescent="0.25">
      <c r="A370" s="36" t="s">
        <v>5309</v>
      </c>
      <c r="B370" s="37" t="s">
        <v>533</v>
      </c>
      <c r="C370" s="36">
        <v>9100541</v>
      </c>
      <c r="D370" s="37" t="s">
        <v>186</v>
      </c>
      <c r="E370" s="36" t="s">
        <v>5342</v>
      </c>
      <c r="F370" s="21" t="str">
        <f>HYPERLINK("https://psearch.kitsapgov.com/webappa/index.html?parcelID=1470665&amp;Theme=Imagery","1470665")</f>
        <v>1470665</v>
      </c>
      <c r="G370" s="37" t="s">
        <v>5343</v>
      </c>
      <c r="H370" s="38">
        <v>44587</v>
      </c>
      <c r="I370" s="39">
        <v>18000000</v>
      </c>
      <c r="J370" s="40">
        <v>0.19</v>
      </c>
      <c r="K370" s="37" t="s">
        <v>377</v>
      </c>
      <c r="L370" s="37" t="s">
        <v>38</v>
      </c>
      <c r="M370" s="37" t="s">
        <v>5310</v>
      </c>
      <c r="N370" s="37" t="s">
        <v>5311</v>
      </c>
    </row>
    <row r="371" spans="1:14" ht="20.100000000000001" customHeight="1" x14ac:dyDescent="0.25">
      <c r="A371" s="36" t="s">
        <v>5309</v>
      </c>
      <c r="B371" s="37" t="s">
        <v>533</v>
      </c>
      <c r="C371" s="36">
        <v>9100542</v>
      </c>
      <c r="D371" s="37" t="s">
        <v>360</v>
      </c>
      <c r="E371" s="36" t="s">
        <v>5344</v>
      </c>
      <c r="F371" s="21" t="str">
        <f>HYPERLINK("https://psearch.kitsapgov.com/webappa/index.html?parcelID=1486950&amp;Theme=Imagery","1486950")</f>
        <v>1486950</v>
      </c>
      <c r="G371" s="37" t="s">
        <v>5345</v>
      </c>
      <c r="H371" s="38">
        <v>44587</v>
      </c>
      <c r="I371" s="39">
        <v>18000000</v>
      </c>
      <c r="J371" s="40">
        <v>0.45</v>
      </c>
      <c r="K371" s="37" t="s">
        <v>814</v>
      </c>
      <c r="L371" s="37" t="s">
        <v>38</v>
      </c>
      <c r="M371" s="37" t="s">
        <v>5310</v>
      </c>
      <c r="N371" s="37" t="s">
        <v>5311</v>
      </c>
    </row>
    <row r="372" spans="1:14" ht="20.100000000000001" customHeight="1" x14ac:dyDescent="0.25">
      <c r="A372" s="36" t="s">
        <v>5309</v>
      </c>
      <c r="B372" s="37" t="s">
        <v>850</v>
      </c>
      <c r="C372" s="36">
        <v>7100542</v>
      </c>
      <c r="D372" s="37" t="s">
        <v>5346</v>
      </c>
      <c r="E372" s="36" t="s">
        <v>5347</v>
      </c>
      <c r="F372" s="21" t="str">
        <f>HYPERLINK("https://psearch.kitsapgov.com/webappa/index.html?parcelID=1487123&amp;Theme=Imagery","1487123")</f>
        <v>1487123</v>
      </c>
      <c r="G372" s="37" t="s">
        <v>5348</v>
      </c>
      <c r="H372" s="38">
        <v>44587</v>
      </c>
      <c r="I372" s="39">
        <v>18000000</v>
      </c>
      <c r="J372" s="40">
        <v>0.17</v>
      </c>
      <c r="K372" s="37" t="s">
        <v>377</v>
      </c>
      <c r="L372" s="37" t="s">
        <v>38</v>
      </c>
      <c r="M372" s="37" t="s">
        <v>5310</v>
      </c>
      <c r="N372" s="37" t="s">
        <v>5311</v>
      </c>
    </row>
    <row r="373" spans="1:14" ht="20.100000000000001" customHeight="1" x14ac:dyDescent="0.25">
      <c r="A373" s="36" t="s">
        <v>5309</v>
      </c>
      <c r="B373" s="37" t="s">
        <v>533</v>
      </c>
      <c r="C373" s="36">
        <v>9100542</v>
      </c>
      <c r="D373" s="37" t="s">
        <v>360</v>
      </c>
      <c r="E373" s="36" t="s">
        <v>5349</v>
      </c>
      <c r="F373" s="21" t="str">
        <f>HYPERLINK("https://psearch.kitsapgov.com/webappa/index.html?parcelID=1487131&amp;Theme=Imagery","1487131")</f>
        <v>1487131</v>
      </c>
      <c r="G373" s="37" t="s">
        <v>5350</v>
      </c>
      <c r="H373" s="38">
        <v>44587</v>
      </c>
      <c r="I373" s="39">
        <v>18000000</v>
      </c>
      <c r="J373" s="40">
        <v>0.21</v>
      </c>
      <c r="K373" s="37" t="s">
        <v>814</v>
      </c>
      <c r="L373" s="37" t="s">
        <v>38</v>
      </c>
      <c r="M373" s="37" t="s">
        <v>5310</v>
      </c>
      <c r="N373" s="37" t="s">
        <v>5311</v>
      </c>
    </row>
    <row r="374" spans="1:14" ht="20.100000000000001" customHeight="1" x14ac:dyDescent="0.25">
      <c r="A374" s="36" t="s">
        <v>5309</v>
      </c>
      <c r="B374" s="37" t="s">
        <v>850</v>
      </c>
      <c r="C374" s="36">
        <v>7100542</v>
      </c>
      <c r="D374" s="37" t="s">
        <v>5346</v>
      </c>
      <c r="E374" s="36" t="s">
        <v>5351</v>
      </c>
      <c r="F374" s="21" t="str">
        <f>HYPERLINK("https://psearch.kitsapgov.com/webappa/index.html?parcelID=1487396&amp;Theme=Imagery","1487396")</f>
        <v>1487396</v>
      </c>
      <c r="G374" s="37" t="s">
        <v>3019</v>
      </c>
      <c r="H374" s="38">
        <v>44587</v>
      </c>
      <c r="I374" s="39">
        <v>18000000</v>
      </c>
      <c r="J374" s="40">
        <v>0.22</v>
      </c>
      <c r="K374" s="37" t="s">
        <v>377</v>
      </c>
      <c r="L374" s="37" t="s">
        <v>38</v>
      </c>
      <c r="M374" s="37" t="s">
        <v>5310</v>
      </c>
      <c r="N374" s="37" t="s">
        <v>5311</v>
      </c>
    </row>
    <row r="375" spans="1:14" ht="20.100000000000001" customHeight="1" x14ac:dyDescent="0.25">
      <c r="A375" s="36" t="s">
        <v>5309</v>
      </c>
      <c r="B375" s="37" t="s">
        <v>850</v>
      </c>
      <c r="C375" s="36">
        <v>7100542</v>
      </c>
      <c r="D375" s="37" t="s">
        <v>5346</v>
      </c>
      <c r="E375" s="36" t="s">
        <v>5352</v>
      </c>
      <c r="F375" s="21" t="str">
        <f>HYPERLINK("https://psearch.kitsapgov.com/webappa/index.html?parcelID=2073724&amp;Theme=Imagery","2073724")</f>
        <v>2073724</v>
      </c>
      <c r="G375" s="37" t="s">
        <v>3019</v>
      </c>
      <c r="H375" s="38">
        <v>44587</v>
      </c>
      <c r="I375" s="39">
        <v>18000000</v>
      </c>
      <c r="J375" s="40">
        <v>0.37</v>
      </c>
      <c r="K375" s="37" t="s">
        <v>377</v>
      </c>
      <c r="L375" s="37" t="s">
        <v>38</v>
      </c>
      <c r="M375" s="37" t="s">
        <v>5315</v>
      </c>
      <c r="N375" s="37" t="s">
        <v>5316</v>
      </c>
    </row>
    <row r="376" spans="1:14" ht="20.100000000000001" customHeight="1" x14ac:dyDescent="0.25">
      <c r="A376" s="36" t="s">
        <v>5309</v>
      </c>
      <c r="B376" s="37" t="s">
        <v>850</v>
      </c>
      <c r="C376" s="36">
        <v>7100543</v>
      </c>
      <c r="D376" s="37" t="s">
        <v>4842</v>
      </c>
      <c r="E376" s="36" t="s">
        <v>5353</v>
      </c>
      <c r="F376" s="21" t="str">
        <f>HYPERLINK("https://psearch.kitsapgov.com/webappa/index.html?parcelID=1492560&amp;Theme=Imagery","1492560")</f>
        <v>1492560</v>
      </c>
      <c r="G376" s="37" t="s">
        <v>3019</v>
      </c>
      <c r="H376" s="38">
        <v>44587</v>
      </c>
      <c r="I376" s="39">
        <v>18000000</v>
      </c>
      <c r="J376" s="40">
        <v>0.23</v>
      </c>
      <c r="K376" s="37" t="s">
        <v>377</v>
      </c>
      <c r="L376" s="37" t="s">
        <v>38</v>
      </c>
      <c r="M376" s="37" t="s">
        <v>5310</v>
      </c>
      <c r="N376" s="37" t="s">
        <v>5311</v>
      </c>
    </row>
    <row r="377" spans="1:14" ht="20.100000000000001" customHeight="1" x14ac:dyDescent="0.25">
      <c r="A377" s="36" t="s">
        <v>5309</v>
      </c>
      <c r="B377" s="37" t="s">
        <v>850</v>
      </c>
      <c r="C377" s="36">
        <v>7100542</v>
      </c>
      <c r="D377" s="37" t="s">
        <v>5346</v>
      </c>
      <c r="E377" s="36" t="s">
        <v>5354</v>
      </c>
      <c r="F377" s="21" t="str">
        <f>HYPERLINK("https://psearch.kitsapgov.com/webappa/index.html?parcelID=1492933&amp;Theme=Imagery","1492933")</f>
        <v>1492933</v>
      </c>
      <c r="G377" s="37" t="s">
        <v>3019</v>
      </c>
      <c r="H377" s="38">
        <v>44587</v>
      </c>
      <c r="I377" s="39">
        <v>18000000</v>
      </c>
      <c r="J377" s="40">
        <v>0.24</v>
      </c>
      <c r="K377" s="37" t="s">
        <v>377</v>
      </c>
      <c r="L377" s="37" t="s">
        <v>38</v>
      </c>
      <c r="M377" s="37" t="s">
        <v>5315</v>
      </c>
      <c r="N377" s="37" t="s">
        <v>5316</v>
      </c>
    </row>
    <row r="378" spans="1:14" ht="20.100000000000001" customHeight="1" x14ac:dyDescent="0.25">
      <c r="A378" s="36" t="s">
        <v>5309</v>
      </c>
      <c r="B378" s="37" t="s">
        <v>850</v>
      </c>
      <c r="C378" s="36">
        <v>7100542</v>
      </c>
      <c r="D378" s="37" t="s">
        <v>5346</v>
      </c>
      <c r="E378" s="36" t="s">
        <v>5355</v>
      </c>
      <c r="F378" s="21" t="str">
        <f>HYPERLINK("https://psearch.kitsapgov.com/webappa/index.html?parcelID=1494970&amp;Theme=Imagery","1494970")</f>
        <v>1494970</v>
      </c>
      <c r="G378" s="37" t="s">
        <v>3019</v>
      </c>
      <c r="H378" s="38">
        <v>44587</v>
      </c>
      <c r="I378" s="39">
        <v>18000000</v>
      </c>
      <c r="J378" s="40">
        <v>0.24</v>
      </c>
      <c r="K378" s="37" t="s">
        <v>377</v>
      </c>
      <c r="L378" s="37" t="s">
        <v>38</v>
      </c>
      <c r="M378" s="37" t="s">
        <v>5310</v>
      </c>
      <c r="N378" s="37" t="s">
        <v>5311</v>
      </c>
    </row>
    <row r="379" spans="1:14" ht="20.100000000000001" customHeight="1" x14ac:dyDescent="0.25">
      <c r="A379" s="36" t="s">
        <v>5309</v>
      </c>
      <c r="B379" s="37" t="s">
        <v>850</v>
      </c>
      <c r="C379" s="36">
        <v>7100542</v>
      </c>
      <c r="D379" s="37" t="s">
        <v>5346</v>
      </c>
      <c r="E379" s="36" t="s">
        <v>5356</v>
      </c>
      <c r="F379" s="21" t="str">
        <f>HYPERLINK("https://psearch.kitsapgov.com/webappa/index.html?parcelID=1494988&amp;Theme=Imagery","1494988")</f>
        <v>1494988</v>
      </c>
      <c r="G379" s="37" t="s">
        <v>3019</v>
      </c>
      <c r="H379" s="38">
        <v>44587</v>
      </c>
      <c r="I379" s="39">
        <v>18000000</v>
      </c>
      <c r="J379" s="40">
        <v>0.26</v>
      </c>
      <c r="K379" s="37" t="s">
        <v>377</v>
      </c>
      <c r="L379" s="37" t="s">
        <v>38</v>
      </c>
      <c r="M379" s="37" t="s">
        <v>5310</v>
      </c>
      <c r="N379" s="37" t="s">
        <v>5311</v>
      </c>
    </row>
    <row r="380" spans="1:14" ht="20.100000000000001" customHeight="1" x14ac:dyDescent="0.25">
      <c r="A380" s="36" t="s">
        <v>5309</v>
      </c>
      <c r="B380" s="37" t="s">
        <v>850</v>
      </c>
      <c r="C380" s="36">
        <v>7100542</v>
      </c>
      <c r="D380" s="37" t="s">
        <v>5346</v>
      </c>
      <c r="E380" s="36" t="s">
        <v>5357</v>
      </c>
      <c r="F380" s="21" t="str">
        <f>HYPERLINK("https://psearch.kitsapgov.com/webappa/index.html?parcelID=1495258&amp;Theme=Imagery","1495258")</f>
        <v>1495258</v>
      </c>
      <c r="G380" s="37" t="s">
        <v>3019</v>
      </c>
      <c r="H380" s="38">
        <v>44587</v>
      </c>
      <c r="I380" s="39">
        <v>18000000</v>
      </c>
      <c r="J380" s="40">
        <v>0.12</v>
      </c>
      <c r="K380" s="37" t="s">
        <v>377</v>
      </c>
      <c r="L380" s="37" t="s">
        <v>38</v>
      </c>
      <c r="M380" s="37" t="s">
        <v>5315</v>
      </c>
      <c r="N380" s="37" t="s">
        <v>5316</v>
      </c>
    </row>
    <row r="381" spans="1:14" ht="20.100000000000001" customHeight="1" x14ac:dyDescent="0.25">
      <c r="A381" s="36" t="s">
        <v>5309</v>
      </c>
      <c r="B381" s="37" t="s">
        <v>850</v>
      </c>
      <c r="C381" s="36">
        <v>7100542</v>
      </c>
      <c r="D381" s="37" t="s">
        <v>5346</v>
      </c>
      <c r="E381" s="36" t="s">
        <v>5358</v>
      </c>
      <c r="F381" s="21" t="str">
        <f>HYPERLINK("https://psearch.kitsapgov.com/webappa/index.html?parcelID=1495266&amp;Theme=Imagery","1495266")</f>
        <v>1495266</v>
      </c>
      <c r="G381" s="37" t="s">
        <v>3019</v>
      </c>
      <c r="H381" s="38">
        <v>44587</v>
      </c>
      <c r="I381" s="39">
        <v>18000000</v>
      </c>
      <c r="J381" s="40">
        <v>0.13</v>
      </c>
      <c r="K381" s="37" t="s">
        <v>377</v>
      </c>
      <c r="L381" s="37" t="s">
        <v>38</v>
      </c>
      <c r="M381" s="37" t="s">
        <v>5310</v>
      </c>
      <c r="N381" s="37" t="s">
        <v>5311</v>
      </c>
    </row>
    <row r="382" spans="1:14" ht="20.100000000000001" customHeight="1" x14ac:dyDescent="0.25">
      <c r="A382" s="36" t="s">
        <v>5309</v>
      </c>
      <c r="B382" s="37" t="s">
        <v>850</v>
      </c>
      <c r="C382" s="36">
        <v>7100542</v>
      </c>
      <c r="D382" s="37" t="s">
        <v>5346</v>
      </c>
      <c r="E382" s="36" t="s">
        <v>5359</v>
      </c>
      <c r="F382" s="21" t="str">
        <f>HYPERLINK("https://psearch.kitsapgov.com/webappa/index.html?parcelID=1495274&amp;Theme=Imagery","1495274")</f>
        <v>1495274</v>
      </c>
      <c r="G382" s="37" t="s">
        <v>3019</v>
      </c>
      <c r="H382" s="38">
        <v>44587</v>
      </c>
      <c r="I382" s="39">
        <v>18000000</v>
      </c>
      <c r="J382" s="40">
        <v>0.13</v>
      </c>
      <c r="K382" s="37" t="s">
        <v>377</v>
      </c>
      <c r="L382" s="37" t="s">
        <v>38</v>
      </c>
      <c r="M382" s="37" t="s">
        <v>5310</v>
      </c>
      <c r="N382" s="37" t="s">
        <v>5311</v>
      </c>
    </row>
    <row r="383" spans="1:14" ht="20.100000000000001" customHeight="1" x14ac:dyDescent="0.25">
      <c r="A383" s="36" t="s">
        <v>5309</v>
      </c>
      <c r="B383" s="37" t="s">
        <v>185</v>
      </c>
      <c r="C383" s="36">
        <v>8401102</v>
      </c>
      <c r="D383" s="37" t="s">
        <v>17</v>
      </c>
      <c r="E383" s="36" t="s">
        <v>5360</v>
      </c>
      <c r="F383" s="21" t="str">
        <f>HYPERLINK("https://psearch.kitsapgov.com/webappa/index.html?parcelID=2420800&amp;Theme=Imagery","2420800")</f>
        <v>2420800</v>
      </c>
      <c r="G383" s="37" t="s">
        <v>5361</v>
      </c>
      <c r="H383" s="38">
        <v>44587</v>
      </c>
      <c r="I383" s="39">
        <v>18000000</v>
      </c>
      <c r="J383" s="40">
        <v>0.28999999999999998</v>
      </c>
      <c r="K383" s="37" t="s">
        <v>679</v>
      </c>
      <c r="L383" s="37" t="s">
        <v>38</v>
      </c>
      <c r="M383" s="37" t="s">
        <v>5310</v>
      </c>
      <c r="N383" s="37" t="s">
        <v>5311</v>
      </c>
    </row>
    <row r="384" spans="1:14" ht="20.100000000000001" customHeight="1" x14ac:dyDescent="0.25">
      <c r="A384" s="36" t="s">
        <v>5309</v>
      </c>
      <c r="B384" s="37" t="s">
        <v>185</v>
      </c>
      <c r="C384" s="36">
        <v>8401102</v>
      </c>
      <c r="D384" s="37" t="s">
        <v>17</v>
      </c>
      <c r="E384" s="36" t="s">
        <v>5362</v>
      </c>
      <c r="F384" s="21" t="str">
        <f>HYPERLINK("https://psearch.kitsapgov.com/webappa/index.html?parcelID=2420818&amp;Theme=Imagery","2420818")</f>
        <v>2420818</v>
      </c>
      <c r="G384" s="37" t="s">
        <v>5363</v>
      </c>
      <c r="H384" s="38">
        <v>44587</v>
      </c>
      <c r="I384" s="39">
        <v>18000000</v>
      </c>
      <c r="J384" s="40">
        <v>0.15</v>
      </c>
      <c r="K384" s="37" t="s">
        <v>679</v>
      </c>
      <c r="L384" s="37" t="s">
        <v>38</v>
      </c>
      <c r="M384" s="37" t="s">
        <v>5310</v>
      </c>
      <c r="N384" s="37" t="s">
        <v>5311</v>
      </c>
    </row>
    <row r="385" spans="1:14" ht="20.100000000000001" customHeight="1" x14ac:dyDescent="0.25">
      <c r="A385" s="36" t="s">
        <v>5309</v>
      </c>
      <c r="B385" s="37" t="s">
        <v>185</v>
      </c>
      <c r="C385" s="36">
        <v>8401102</v>
      </c>
      <c r="D385" s="37" t="s">
        <v>17</v>
      </c>
      <c r="E385" s="36" t="s">
        <v>5364</v>
      </c>
      <c r="F385" s="21" t="str">
        <f>HYPERLINK("https://psearch.kitsapgov.com/webappa/index.html?parcelID=2420826&amp;Theme=Imagery","2420826")</f>
        <v>2420826</v>
      </c>
      <c r="G385" s="37" t="s">
        <v>5365</v>
      </c>
      <c r="H385" s="38">
        <v>44587</v>
      </c>
      <c r="I385" s="39">
        <v>18000000</v>
      </c>
      <c r="J385" s="40">
        <v>0.11</v>
      </c>
      <c r="K385" s="37" t="s">
        <v>679</v>
      </c>
      <c r="L385" s="37" t="s">
        <v>38</v>
      </c>
      <c r="M385" s="37" t="s">
        <v>5310</v>
      </c>
      <c r="N385" s="37" t="s">
        <v>5311</v>
      </c>
    </row>
    <row r="386" spans="1:14" ht="20.100000000000001" customHeight="1" x14ac:dyDescent="0.25">
      <c r="A386" s="36" t="s">
        <v>5309</v>
      </c>
      <c r="B386" s="37" t="s">
        <v>533</v>
      </c>
      <c r="C386" s="36">
        <v>8401102</v>
      </c>
      <c r="D386" s="37" t="s">
        <v>17</v>
      </c>
      <c r="E386" s="36" t="s">
        <v>5366</v>
      </c>
      <c r="F386" s="21" t="str">
        <f>HYPERLINK("https://psearch.kitsapgov.com/webappa/index.html?parcelID=2420834&amp;Theme=Imagery","2420834")</f>
        <v>2420834</v>
      </c>
      <c r="G386" s="37" t="s">
        <v>5367</v>
      </c>
      <c r="H386" s="38">
        <v>44587</v>
      </c>
      <c r="I386" s="39">
        <v>18000000</v>
      </c>
      <c r="J386" s="40">
        <v>0.42</v>
      </c>
      <c r="K386" s="37" t="s">
        <v>679</v>
      </c>
      <c r="L386" s="37" t="s">
        <v>38</v>
      </c>
      <c r="M386" s="37" t="s">
        <v>5310</v>
      </c>
      <c r="N386" s="37" t="s">
        <v>5311</v>
      </c>
    </row>
    <row r="387" spans="1:14" ht="39.950000000000003" customHeight="1" x14ac:dyDescent="0.25">
      <c r="A387" s="36" t="s">
        <v>5368</v>
      </c>
      <c r="B387" s="37" t="s">
        <v>262</v>
      </c>
      <c r="C387" s="36">
        <v>8400207</v>
      </c>
      <c r="D387" s="37" t="s">
        <v>298</v>
      </c>
      <c r="E387" s="36" t="s">
        <v>5369</v>
      </c>
      <c r="F387" s="21" t="str">
        <f>HYPERLINK("https://psearch.kitsapgov.com/webappa/index.html?parcelID=2457315&amp;Theme=Imagery","2457315")</f>
        <v>2457315</v>
      </c>
      <c r="G387" s="37" t="s">
        <v>5370</v>
      </c>
      <c r="H387" s="38">
        <v>44592</v>
      </c>
      <c r="I387" s="39">
        <v>250000</v>
      </c>
      <c r="J387" s="40">
        <v>1.83</v>
      </c>
      <c r="K387" s="37" t="s">
        <v>960</v>
      </c>
      <c r="L387" s="37" t="s">
        <v>4517</v>
      </c>
      <c r="M387" s="37" t="s">
        <v>961</v>
      </c>
      <c r="N387" s="37" t="s">
        <v>4532</v>
      </c>
    </row>
    <row r="388" spans="1:14" ht="20.100000000000001" customHeight="1" x14ac:dyDescent="0.25">
      <c r="A388" s="36" t="s">
        <v>5368</v>
      </c>
      <c r="B388" s="37" t="s">
        <v>5371</v>
      </c>
      <c r="C388" s="36">
        <v>8400207</v>
      </c>
      <c r="D388" s="37" t="s">
        <v>298</v>
      </c>
      <c r="E388" s="36" t="s">
        <v>5372</v>
      </c>
      <c r="F388" s="21" t="str">
        <f>HYPERLINK("https://psearch.kitsapgov.com/webappa/index.html?parcelID=2457323&amp;Theme=Imagery","2457323")</f>
        <v>2457323</v>
      </c>
      <c r="G388" s="37" t="s">
        <v>5373</v>
      </c>
      <c r="H388" s="38">
        <v>44592</v>
      </c>
      <c r="I388" s="39">
        <v>250000</v>
      </c>
      <c r="J388" s="40">
        <v>1.06</v>
      </c>
      <c r="K388" s="37" t="s">
        <v>960</v>
      </c>
      <c r="L388" s="37" t="s">
        <v>4517</v>
      </c>
      <c r="M388" s="37" t="s">
        <v>961</v>
      </c>
      <c r="N388" s="37" t="s">
        <v>4532</v>
      </c>
    </row>
    <row r="389" spans="1:14" ht="20.100000000000001" customHeight="1" x14ac:dyDescent="0.25">
      <c r="A389" s="36" t="s">
        <v>5368</v>
      </c>
      <c r="B389" s="37" t="s">
        <v>5371</v>
      </c>
      <c r="C389" s="36">
        <v>8400207</v>
      </c>
      <c r="D389" s="37" t="s">
        <v>298</v>
      </c>
      <c r="E389" s="36" t="s">
        <v>5374</v>
      </c>
      <c r="F389" s="21" t="str">
        <f>HYPERLINK("https://psearch.kitsapgov.com/webappa/index.html?parcelID=2457331&amp;Theme=Imagery","2457331")</f>
        <v>2457331</v>
      </c>
      <c r="G389" s="37" t="s">
        <v>5375</v>
      </c>
      <c r="H389" s="38">
        <v>44592</v>
      </c>
      <c r="I389" s="39">
        <v>250000</v>
      </c>
      <c r="J389" s="40">
        <v>1.78</v>
      </c>
      <c r="K389" s="37" t="s">
        <v>960</v>
      </c>
      <c r="L389" s="37" t="s">
        <v>4517</v>
      </c>
      <c r="M389" s="37" t="s">
        <v>961</v>
      </c>
      <c r="N389" s="37" t="s">
        <v>4532</v>
      </c>
    </row>
    <row r="390" spans="1:14" ht="20.100000000000001" customHeight="1" x14ac:dyDescent="0.25">
      <c r="A390" s="36" t="s">
        <v>5368</v>
      </c>
      <c r="B390" s="37" t="s">
        <v>5371</v>
      </c>
      <c r="C390" s="36">
        <v>7400203</v>
      </c>
      <c r="D390" s="37" t="s">
        <v>5376</v>
      </c>
      <c r="E390" s="36" t="s">
        <v>5377</v>
      </c>
      <c r="F390" s="21" t="str">
        <f>HYPERLINK("https://psearch.kitsapgov.com/webappa/index.html?parcelID=2526010&amp;Theme=Imagery","2526010")</f>
        <v>2526010</v>
      </c>
      <c r="G390" s="37" t="s">
        <v>3019</v>
      </c>
      <c r="H390" s="38">
        <v>44592</v>
      </c>
      <c r="I390" s="39">
        <v>250000</v>
      </c>
      <c r="J390" s="40">
        <v>3.37</v>
      </c>
      <c r="K390" s="37" t="s">
        <v>52</v>
      </c>
      <c r="L390" s="37" t="s">
        <v>4517</v>
      </c>
      <c r="M390" s="37" t="s">
        <v>961</v>
      </c>
      <c r="N390" s="37" t="s">
        <v>4532</v>
      </c>
    </row>
    <row r="391" spans="1:14" ht="39.950000000000003" customHeight="1" x14ac:dyDescent="0.25">
      <c r="A391" s="36" t="s">
        <v>5378</v>
      </c>
      <c r="B391" s="37" t="s">
        <v>105</v>
      </c>
      <c r="C391" s="36">
        <v>7402407</v>
      </c>
      <c r="D391" s="37" t="s">
        <v>5379</v>
      </c>
      <c r="E391" s="36" t="s">
        <v>5380</v>
      </c>
      <c r="F391" s="21" t="str">
        <f>HYPERLINK("https://psearch.kitsapgov.com/webappa/index.html?parcelID=1164557&amp;Theme=Imagery","1164557")</f>
        <v>1164557</v>
      </c>
      <c r="G391" s="37" t="s">
        <v>3019</v>
      </c>
      <c r="H391" s="38">
        <v>44571</v>
      </c>
      <c r="I391" s="39">
        <v>224620</v>
      </c>
      <c r="J391" s="40">
        <v>0.18</v>
      </c>
      <c r="K391" s="37" t="s">
        <v>176</v>
      </c>
      <c r="L391" s="37" t="s">
        <v>94</v>
      </c>
      <c r="M391" s="37" t="s">
        <v>5381</v>
      </c>
      <c r="N391" s="37" t="s">
        <v>5382</v>
      </c>
    </row>
    <row r="392" spans="1:14" ht="20.100000000000001" customHeight="1" x14ac:dyDescent="0.25">
      <c r="A392" s="36" t="s">
        <v>5378</v>
      </c>
      <c r="B392" s="37" t="s">
        <v>105</v>
      </c>
      <c r="C392" s="36">
        <v>7402407</v>
      </c>
      <c r="D392" s="37" t="s">
        <v>5379</v>
      </c>
      <c r="E392" s="36" t="s">
        <v>5383</v>
      </c>
      <c r="F392" s="21" t="str">
        <f>HYPERLINK("https://psearch.kitsapgov.com/webappa/index.html?parcelID=2286250&amp;Theme=Imagery","2286250")</f>
        <v>2286250</v>
      </c>
      <c r="G392" s="37" t="s">
        <v>3019</v>
      </c>
      <c r="H392" s="38">
        <v>44571</v>
      </c>
      <c r="I392" s="39">
        <v>224620</v>
      </c>
      <c r="J392" s="40">
        <v>0.69</v>
      </c>
      <c r="K392" s="37" t="s">
        <v>176</v>
      </c>
      <c r="L392" s="37" t="s">
        <v>94</v>
      </c>
      <c r="M392" s="37" t="s">
        <v>5381</v>
      </c>
      <c r="N392" s="37" t="s">
        <v>5382</v>
      </c>
    </row>
    <row r="393" spans="1:14" ht="20.100000000000001" customHeight="1" x14ac:dyDescent="0.25">
      <c r="A393" s="36" t="s">
        <v>5378</v>
      </c>
      <c r="B393" s="37" t="s">
        <v>105</v>
      </c>
      <c r="C393" s="36">
        <v>7402407</v>
      </c>
      <c r="D393" s="37" t="s">
        <v>5379</v>
      </c>
      <c r="E393" s="36" t="s">
        <v>5384</v>
      </c>
      <c r="F393" s="21" t="str">
        <f>HYPERLINK("https://psearch.kitsapgov.com/webappa/index.html?parcelID=1170091&amp;Theme=Imagery","1170091")</f>
        <v>1170091</v>
      </c>
      <c r="G393" s="37" t="s">
        <v>3019</v>
      </c>
      <c r="H393" s="38">
        <v>44571</v>
      </c>
      <c r="I393" s="39">
        <v>224620</v>
      </c>
      <c r="J393" s="40">
        <v>0.34</v>
      </c>
      <c r="K393" s="37" t="s">
        <v>176</v>
      </c>
      <c r="L393" s="37" t="s">
        <v>94</v>
      </c>
      <c r="M393" s="37" t="s">
        <v>5381</v>
      </c>
      <c r="N393" s="37" t="s">
        <v>5382</v>
      </c>
    </row>
    <row r="394" spans="1:14" ht="20.100000000000001" customHeight="1" x14ac:dyDescent="0.25">
      <c r="A394" s="36" t="s">
        <v>5378</v>
      </c>
      <c r="B394" s="37" t="s">
        <v>105</v>
      </c>
      <c r="C394" s="36">
        <v>8402408</v>
      </c>
      <c r="D394" s="37" t="s">
        <v>160</v>
      </c>
      <c r="E394" s="36" t="s">
        <v>5385</v>
      </c>
      <c r="F394" s="21" t="str">
        <f>HYPERLINK("https://psearch.kitsapgov.com/webappa/index.html?parcelID=1170208&amp;Theme=Imagery","1170208")</f>
        <v>1170208</v>
      </c>
      <c r="G394" s="37" t="s">
        <v>5386</v>
      </c>
      <c r="H394" s="38">
        <v>44571</v>
      </c>
      <c r="I394" s="39">
        <v>224620</v>
      </c>
      <c r="J394" s="40">
        <v>1.01</v>
      </c>
      <c r="K394" s="37" t="s">
        <v>37</v>
      </c>
      <c r="L394" s="37" t="s">
        <v>94</v>
      </c>
      <c r="M394" s="37" t="s">
        <v>5387</v>
      </c>
      <c r="N394" s="37" t="s">
        <v>5388</v>
      </c>
    </row>
    <row r="395" spans="1:14" ht="39.950000000000003" customHeight="1" x14ac:dyDescent="0.25">
      <c r="A395" s="36" t="s">
        <v>5389</v>
      </c>
      <c r="B395" s="37" t="s">
        <v>24</v>
      </c>
      <c r="C395" s="36">
        <v>8401101</v>
      </c>
      <c r="D395" s="37" t="s">
        <v>305</v>
      </c>
      <c r="E395" s="36" t="s">
        <v>5390</v>
      </c>
      <c r="F395" s="21" t="str">
        <f>HYPERLINK("https://psearch.kitsapgov.com/webappa/index.html?parcelID=2589224&amp;Theme=Imagery","2589224")</f>
        <v>2589224</v>
      </c>
      <c r="G395" s="37" t="s">
        <v>5391</v>
      </c>
      <c r="H395" s="38">
        <v>44592</v>
      </c>
      <c r="I395" s="39">
        <v>4100000</v>
      </c>
      <c r="J395" s="40">
        <v>0.7</v>
      </c>
      <c r="K395" s="37" t="s">
        <v>308</v>
      </c>
      <c r="L395" s="37" t="s">
        <v>4517</v>
      </c>
      <c r="M395" s="37" t="s">
        <v>5392</v>
      </c>
      <c r="N395" s="37" t="s">
        <v>5393</v>
      </c>
    </row>
    <row r="396" spans="1:14" ht="20.100000000000001" customHeight="1" x14ac:dyDescent="0.25">
      <c r="A396" s="36" t="s">
        <v>5389</v>
      </c>
      <c r="B396" s="37" t="s">
        <v>24</v>
      </c>
      <c r="C396" s="36">
        <v>8401101</v>
      </c>
      <c r="D396" s="37" t="s">
        <v>305</v>
      </c>
      <c r="E396" s="36" t="s">
        <v>5394</v>
      </c>
      <c r="F396" s="21" t="str">
        <f>HYPERLINK("https://psearch.kitsapgov.com/webappa/index.html?parcelID=2589232&amp;Theme=Imagery","2589232")</f>
        <v>2589232</v>
      </c>
      <c r="G396" s="37" t="s">
        <v>5395</v>
      </c>
      <c r="H396" s="38">
        <v>44592</v>
      </c>
      <c r="I396" s="39">
        <v>4100000</v>
      </c>
      <c r="J396" s="40">
        <v>0.65</v>
      </c>
      <c r="K396" s="37" t="s">
        <v>308</v>
      </c>
      <c r="L396" s="37" t="s">
        <v>4517</v>
      </c>
      <c r="M396" s="37" t="s">
        <v>5392</v>
      </c>
      <c r="N396" s="37" t="s">
        <v>5393</v>
      </c>
    </row>
    <row r="397" spans="1:14" ht="39.950000000000003" customHeight="1" x14ac:dyDescent="0.25">
      <c r="A397" s="36" t="s">
        <v>5396</v>
      </c>
      <c r="B397" s="37" t="s">
        <v>280</v>
      </c>
      <c r="C397" s="36">
        <v>9400204</v>
      </c>
      <c r="D397" s="37" t="s">
        <v>884</v>
      </c>
      <c r="E397" s="36" t="s">
        <v>5397</v>
      </c>
      <c r="F397" s="21" t="str">
        <f>HYPERLINK("https://psearch.kitsapgov.com/webappa/index.html?parcelID=1231844&amp;Theme=Imagery","1231844")</f>
        <v>1231844</v>
      </c>
      <c r="G397" s="37" t="s">
        <v>5398</v>
      </c>
      <c r="H397" s="38">
        <v>44600</v>
      </c>
      <c r="I397" s="39">
        <v>250000</v>
      </c>
      <c r="J397" s="40">
        <v>3.05</v>
      </c>
      <c r="K397" s="37" t="s">
        <v>205</v>
      </c>
      <c r="L397" s="37" t="s">
        <v>38</v>
      </c>
      <c r="M397" s="37" t="s">
        <v>5399</v>
      </c>
      <c r="N397" s="37" t="s">
        <v>5400</v>
      </c>
    </row>
    <row r="398" spans="1:14" ht="39.950000000000003" customHeight="1" x14ac:dyDescent="0.25">
      <c r="A398" s="36" t="s">
        <v>5401</v>
      </c>
      <c r="B398" s="37" t="s">
        <v>105</v>
      </c>
      <c r="C398" s="36">
        <v>7401190</v>
      </c>
      <c r="D398" s="37" t="s">
        <v>5175</v>
      </c>
      <c r="E398" s="36" t="s">
        <v>5176</v>
      </c>
      <c r="F398" s="21" t="str">
        <f>HYPERLINK("https://psearch.kitsapgov.com/webappa/index.html?parcelID=1225960&amp;Theme=Imagery","1225960")</f>
        <v>1225960</v>
      </c>
      <c r="G398" s="37" t="s">
        <v>3019</v>
      </c>
      <c r="H398" s="38">
        <v>44607</v>
      </c>
      <c r="I398" s="39">
        <v>12000000</v>
      </c>
      <c r="J398" s="40">
        <v>4.97</v>
      </c>
      <c r="K398" s="37" t="s">
        <v>176</v>
      </c>
      <c r="L398" s="37" t="s">
        <v>4517</v>
      </c>
      <c r="M398" s="37" t="s">
        <v>2546</v>
      </c>
      <c r="N398" s="37" t="s">
        <v>5402</v>
      </c>
    </row>
    <row r="399" spans="1:14" ht="20.100000000000001" customHeight="1" x14ac:dyDescent="0.25">
      <c r="A399" s="36" t="s">
        <v>5401</v>
      </c>
      <c r="B399" s="37" t="s">
        <v>105</v>
      </c>
      <c r="C399" s="36">
        <v>7401190</v>
      </c>
      <c r="D399" s="37" t="s">
        <v>5175</v>
      </c>
      <c r="E399" s="36" t="s">
        <v>5177</v>
      </c>
      <c r="F399" s="21" t="str">
        <f>HYPERLINK("https://psearch.kitsapgov.com/webappa/index.html?parcelID=1225978&amp;Theme=Imagery","1225978")</f>
        <v>1225978</v>
      </c>
      <c r="G399" s="37" t="s">
        <v>3019</v>
      </c>
      <c r="H399" s="38">
        <v>44607</v>
      </c>
      <c r="I399" s="39">
        <v>12000000</v>
      </c>
      <c r="J399" s="40">
        <v>9.9700000000000006</v>
      </c>
      <c r="K399" s="37" t="s">
        <v>176</v>
      </c>
      <c r="L399" s="37" t="s">
        <v>4517</v>
      </c>
      <c r="M399" s="37" t="s">
        <v>2546</v>
      </c>
      <c r="N399" s="37" t="s">
        <v>5402</v>
      </c>
    </row>
    <row r="400" spans="1:14" ht="20.100000000000001" customHeight="1" x14ac:dyDescent="0.25">
      <c r="A400" s="36" t="s">
        <v>5401</v>
      </c>
      <c r="B400" s="37" t="s">
        <v>5169</v>
      </c>
      <c r="C400" s="36">
        <v>9401127</v>
      </c>
      <c r="D400" s="37" t="s">
        <v>5170</v>
      </c>
      <c r="E400" s="36" t="s">
        <v>5178</v>
      </c>
      <c r="F400" s="21" t="str">
        <f>HYPERLINK("https://psearch.kitsapgov.com/webappa/index.html?parcelID=1225994&amp;Theme=Imagery","1225994")</f>
        <v>1225994</v>
      </c>
      <c r="G400" s="37" t="s">
        <v>5172</v>
      </c>
      <c r="H400" s="38">
        <v>44607</v>
      </c>
      <c r="I400" s="39">
        <v>12000000</v>
      </c>
      <c r="J400" s="40">
        <v>40.299999999999997</v>
      </c>
      <c r="K400" s="37" t="s">
        <v>176</v>
      </c>
      <c r="L400" s="37" t="s">
        <v>4517</v>
      </c>
      <c r="M400" s="37" t="s">
        <v>2546</v>
      </c>
      <c r="N400" s="37" t="s">
        <v>5402</v>
      </c>
    </row>
    <row r="401" spans="1:14" ht="39.950000000000003" customHeight="1" x14ac:dyDescent="0.25">
      <c r="A401" s="36" t="s">
        <v>5403</v>
      </c>
      <c r="B401" s="37" t="s">
        <v>48</v>
      </c>
      <c r="C401" s="36">
        <v>9400203</v>
      </c>
      <c r="D401" s="37" t="s">
        <v>49</v>
      </c>
      <c r="E401" s="36" t="s">
        <v>5404</v>
      </c>
      <c r="F401" s="21" t="str">
        <f>HYPERLINK("https://psearch.kitsapgov.com/webappa/index.html?parcelID=2526028&amp;Theme=Imagery","2526028")</f>
        <v>2526028</v>
      </c>
      <c r="G401" s="37" t="s">
        <v>5405</v>
      </c>
      <c r="H401" s="38">
        <v>44601</v>
      </c>
      <c r="I401" s="39">
        <v>2300000</v>
      </c>
      <c r="J401" s="40">
        <v>4.05</v>
      </c>
      <c r="K401" s="37" t="s">
        <v>52</v>
      </c>
      <c r="L401" s="37" t="s">
        <v>4517</v>
      </c>
      <c r="M401" s="37" t="s">
        <v>4001</v>
      </c>
      <c r="N401" s="37" t="s">
        <v>5406</v>
      </c>
    </row>
    <row r="402" spans="1:14" ht="20.100000000000001" customHeight="1" x14ac:dyDescent="0.25">
      <c r="A402" s="36" t="s">
        <v>5403</v>
      </c>
      <c r="B402" s="37" t="s">
        <v>105</v>
      </c>
      <c r="C402" s="36">
        <v>9400203</v>
      </c>
      <c r="D402" s="37" t="s">
        <v>49</v>
      </c>
      <c r="E402" s="36" t="s">
        <v>5407</v>
      </c>
      <c r="F402" s="21" t="str">
        <f>HYPERLINK("https://psearch.kitsapgov.com/webappa/index.html?parcelID=2526036&amp;Theme=Imagery","2526036")</f>
        <v>2526036</v>
      </c>
      <c r="G402" s="37" t="s">
        <v>5408</v>
      </c>
      <c r="H402" s="38">
        <v>44601</v>
      </c>
      <c r="I402" s="39">
        <v>2300000</v>
      </c>
      <c r="J402" s="40">
        <v>0.6</v>
      </c>
      <c r="K402" s="37" t="s">
        <v>52</v>
      </c>
      <c r="L402" s="37" t="s">
        <v>4517</v>
      </c>
      <c r="M402" s="37" t="s">
        <v>4001</v>
      </c>
      <c r="N402" s="37" t="s">
        <v>5406</v>
      </c>
    </row>
    <row r="403" spans="1:14" ht="39.950000000000003" customHeight="1" x14ac:dyDescent="0.25">
      <c r="A403" s="36" t="s">
        <v>5409</v>
      </c>
      <c r="B403" s="37" t="s">
        <v>3201</v>
      </c>
      <c r="C403" s="36">
        <v>8402306</v>
      </c>
      <c r="D403" s="37" t="s">
        <v>621</v>
      </c>
      <c r="E403" s="36" t="s">
        <v>5410</v>
      </c>
      <c r="F403" s="21" t="str">
        <f>HYPERLINK("https://psearch.kitsapgov.com/webappa/index.html?parcelID=1738681&amp;Theme=Imagery","1738681")</f>
        <v>1738681</v>
      </c>
      <c r="G403" s="37" t="s">
        <v>5411</v>
      </c>
      <c r="H403" s="38">
        <v>44622</v>
      </c>
      <c r="I403" s="39">
        <v>875000</v>
      </c>
      <c r="J403" s="40">
        <v>0.08</v>
      </c>
      <c r="K403" s="37" t="s">
        <v>624</v>
      </c>
      <c r="L403" s="37" t="s">
        <v>4517</v>
      </c>
      <c r="M403" s="37" t="s">
        <v>5412</v>
      </c>
      <c r="N403" s="37" t="s">
        <v>5413</v>
      </c>
    </row>
    <row r="404" spans="1:14" ht="20.100000000000001" customHeight="1" x14ac:dyDescent="0.25">
      <c r="A404" s="36" t="s">
        <v>5409</v>
      </c>
      <c r="B404" s="37" t="s">
        <v>105</v>
      </c>
      <c r="C404" s="36">
        <v>8402306</v>
      </c>
      <c r="D404" s="37" t="s">
        <v>621</v>
      </c>
      <c r="E404" s="36" t="s">
        <v>5414</v>
      </c>
      <c r="F404" s="21" t="str">
        <f>HYPERLINK("https://psearch.kitsapgov.com/webappa/index.html?parcelID=1738699&amp;Theme=Imagery","1738699")</f>
        <v>1738699</v>
      </c>
      <c r="G404" s="37" t="s">
        <v>5415</v>
      </c>
      <c r="H404" s="38">
        <v>44622</v>
      </c>
      <c r="I404" s="39">
        <v>875000</v>
      </c>
      <c r="J404" s="40">
        <v>0.08</v>
      </c>
      <c r="K404" s="37" t="s">
        <v>624</v>
      </c>
      <c r="L404" s="37" t="s">
        <v>4517</v>
      </c>
      <c r="M404" s="37" t="s">
        <v>5412</v>
      </c>
      <c r="N404" s="37" t="s">
        <v>5413</v>
      </c>
    </row>
    <row r="405" spans="1:14" ht="39.950000000000003" customHeight="1" x14ac:dyDescent="0.25">
      <c r="A405" s="36" t="s">
        <v>5416</v>
      </c>
      <c r="B405" s="37" t="s">
        <v>159</v>
      </c>
      <c r="C405" s="36">
        <v>8100502</v>
      </c>
      <c r="D405" s="37" t="s">
        <v>142</v>
      </c>
      <c r="E405" s="36" t="s">
        <v>5417</v>
      </c>
      <c r="F405" s="21" t="str">
        <f>HYPERLINK("https://psearch.kitsapgov.com/webappa/index.html?parcelID=1451863&amp;Theme=Imagery","1451863")</f>
        <v>1451863</v>
      </c>
      <c r="G405" s="37" t="s">
        <v>5418</v>
      </c>
      <c r="H405" s="38">
        <v>44615</v>
      </c>
      <c r="I405" s="39">
        <v>700000</v>
      </c>
      <c r="J405" s="40">
        <v>0.52</v>
      </c>
      <c r="K405" s="37" t="s">
        <v>168</v>
      </c>
      <c r="L405" s="37" t="s">
        <v>4517</v>
      </c>
      <c r="M405" s="37" t="s">
        <v>5419</v>
      </c>
      <c r="N405" s="37" t="s">
        <v>5420</v>
      </c>
    </row>
    <row r="406" spans="1:14" ht="20.100000000000001" customHeight="1" x14ac:dyDescent="0.25">
      <c r="A406" s="36" t="s">
        <v>5416</v>
      </c>
      <c r="B406" s="37" t="s">
        <v>159</v>
      </c>
      <c r="C406" s="36">
        <v>8100502</v>
      </c>
      <c r="D406" s="37" t="s">
        <v>142</v>
      </c>
      <c r="E406" s="36" t="s">
        <v>5421</v>
      </c>
      <c r="F406" s="21" t="str">
        <f>HYPERLINK("https://psearch.kitsapgov.com/webappa/index.html?parcelID=1454750&amp;Theme=Imagery","1454750")</f>
        <v>1454750</v>
      </c>
      <c r="G406" s="37" t="s">
        <v>5422</v>
      </c>
      <c r="H406" s="38">
        <v>44615</v>
      </c>
      <c r="I406" s="39">
        <v>700000</v>
      </c>
      <c r="J406" s="40">
        <v>0.65</v>
      </c>
      <c r="K406" s="37" t="s">
        <v>168</v>
      </c>
      <c r="L406" s="37" t="s">
        <v>4517</v>
      </c>
      <c r="M406" s="37" t="s">
        <v>5419</v>
      </c>
      <c r="N406" s="37" t="s">
        <v>5420</v>
      </c>
    </row>
    <row r="407" spans="1:14" ht="39.950000000000003" customHeight="1" x14ac:dyDescent="0.25">
      <c r="A407" s="36" t="s">
        <v>5423</v>
      </c>
      <c r="B407" s="37" t="s">
        <v>5424</v>
      </c>
      <c r="C407" s="36">
        <v>8303601</v>
      </c>
      <c r="D407" s="37" t="s">
        <v>25</v>
      </c>
      <c r="E407" s="36" t="s">
        <v>5425</v>
      </c>
      <c r="F407" s="21" t="str">
        <f>HYPERLINK("https://psearch.kitsapgov.com/webappa/index.html?parcelID=2083970&amp;Theme=Imagery","2083970")</f>
        <v>2083970</v>
      </c>
      <c r="G407" s="37" t="s">
        <v>5426</v>
      </c>
      <c r="H407" s="38">
        <v>44651</v>
      </c>
      <c r="I407" s="39">
        <v>27650000</v>
      </c>
      <c r="J407" s="40">
        <v>3.7</v>
      </c>
      <c r="K407" s="37" t="s">
        <v>2483</v>
      </c>
      <c r="L407" s="37" t="s">
        <v>4517</v>
      </c>
      <c r="M407" s="37" t="s">
        <v>5427</v>
      </c>
      <c r="N407" s="37" t="s">
        <v>5428</v>
      </c>
    </row>
    <row r="408" spans="1:14" ht="20.100000000000001" customHeight="1" x14ac:dyDescent="0.25">
      <c r="A408" s="36" t="s">
        <v>5423</v>
      </c>
      <c r="B408" s="37" t="s">
        <v>1948</v>
      </c>
      <c r="C408" s="36">
        <v>8303601</v>
      </c>
      <c r="D408" s="37" t="s">
        <v>25</v>
      </c>
      <c r="E408" s="36" t="s">
        <v>5429</v>
      </c>
      <c r="F408" s="21" t="str">
        <f>HYPERLINK("https://psearch.kitsapgov.com/webappa/index.html?parcelID=2083988&amp;Theme=Imagery","2083988")</f>
        <v>2083988</v>
      </c>
      <c r="G408" s="37" t="s">
        <v>5430</v>
      </c>
      <c r="H408" s="38">
        <v>44651</v>
      </c>
      <c r="I408" s="39">
        <v>27650000</v>
      </c>
      <c r="J408" s="40">
        <v>1.21</v>
      </c>
      <c r="K408" s="37" t="s">
        <v>2483</v>
      </c>
      <c r="L408" s="37" t="s">
        <v>4517</v>
      </c>
      <c r="M408" s="37" t="s">
        <v>5427</v>
      </c>
      <c r="N408" s="37" t="s">
        <v>5428</v>
      </c>
    </row>
    <row r="409" spans="1:14" ht="20.100000000000001" customHeight="1" x14ac:dyDescent="0.25">
      <c r="A409" s="36" t="s">
        <v>5423</v>
      </c>
      <c r="B409" s="37" t="s">
        <v>1948</v>
      </c>
      <c r="C409" s="36">
        <v>8303601</v>
      </c>
      <c r="D409" s="37" t="s">
        <v>25</v>
      </c>
      <c r="E409" s="36" t="s">
        <v>5431</v>
      </c>
      <c r="F409" s="21" t="str">
        <f>HYPERLINK("https://psearch.kitsapgov.com/webappa/index.html?parcelID=2083996&amp;Theme=Imagery","2083996")</f>
        <v>2083996</v>
      </c>
      <c r="G409" s="37" t="s">
        <v>5432</v>
      </c>
      <c r="H409" s="38">
        <v>44651</v>
      </c>
      <c r="I409" s="39">
        <v>27650000</v>
      </c>
      <c r="J409" s="40">
        <v>2.44</v>
      </c>
      <c r="K409" s="37" t="s">
        <v>2483</v>
      </c>
      <c r="L409" s="37" t="s">
        <v>4517</v>
      </c>
      <c r="M409" s="37" t="s">
        <v>5427</v>
      </c>
      <c r="N409" s="37" t="s">
        <v>5428</v>
      </c>
    </row>
    <row r="410" spans="1:14" ht="20.100000000000001" customHeight="1" x14ac:dyDescent="0.25">
      <c r="A410" s="36" t="s">
        <v>5423</v>
      </c>
      <c r="B410" s="37" t="s">
        <v>1948</v>
      </c>
      <c r="C410" s="36">
        <v>8303601</v>
      </c>
      <c r="D410" s="37" t="s">
        <v>25</v>
      </c>
      <c r="E410" s="36" t="s">
        <v>5433</v>
      </c>
      <c r="F410" s="21" t="str">
        <f>HYPERLINK("https://psearch.kitsapgov.com/webappa/index.html?parcelID=2209179&amp;Theme=Imagery","2209179")</f>
        <v>2209179</v>
      </c>
      <c r="G410" s="37" t="s">
        <v>5434</v>
      </c>
      <c r="H410" s="38">
        <v>44651</v>
      </c>
      <c r="I410" s="39">
        <v>27650000</v>
      </c>
      <c r="J410" s="40">
        <v>0</v>
      </c>
      <c r="K410" s="37" t="s">
        <v>2483</v>
      </c>
      <c r="L410" s="37" t="s">
        <v>4517</v>
      </c>
      <c r="M410" s="37" t="s">
        <v>5427</v>
      </c>
      <c r="N410" s="37" t="s">
        <v>5428</v>
      </c>
    </row>
    <row r="411" spans="1:14" ht="39.950000000000003" customHeight="1" x14ac:dyDescent="0.25">
      <c r="A411" s="36" t="s">
        <v>5435</v>
      </c>
      <c r="B411" s="37" t="s">
        <v>909</v>
      </c>
      <c r="C411" s="36">
        <v>8303601</v>
      </c>
      <c r="D411" s="37" t="s">
        <v>25</v>
      </c>
      <c r="E411" s="36" t="s">
        <v>4759</v>
      </c>
      <c r="F411" s="21" t="str">
        <f>HYPERLINK("https://psearch.kitsapgov.com/webappa/index.html?parcelID=2434181&amp;Theme=Imagery","2434181")</f>
        <v>2434181</v>
      </c>
      <c r="G411" s="37" t="s">
        <v>4760</v>
      </c>
      <c r="H411" s="38">
        <v>44061</v>
      </c>
      <c r="I411" s="39">
        <v>86032</v>
      </c>
      <c r="J411" s="40">
        <v>4.9800000000000004</v>
      </c>
      <c r="K411" s="37" t="s">
        <v>421</v>
      </c>
      <c r="L411" s="37" t="s">
        <v>38</v>
      </c>
      <c r="M411" s="37" t="s">
        <v>5436</v>
      </c>
      <c r="N411" s="37" t="s">
        <v>5437</v>
      </c>
    </row>
    <row r="412" spans="1:14" ht="20.100000000000001" customHeight="1" x14ac:dyDescent="0.25">
      <c r="A412" s="36" t="s">
        <v>5435</v>
      </c>
      <c r="B412" s="37" t="s">
        <v>3685</v>
      </c>
      <c r="C412" s="36">
        <v>7303604</v>
      </c>
      <c r="D412" s="37" t="s">
        <v>4763</v>
      </c>
      <c r="E412" s="36" t="s">
        <v>5438</v>
      </c>
      <c r="F412" s="21" t="str">
        <f>HYPERLINK("https://psearch.kitsapgov.com/webappa/index.html?parcelID=2652097&amp;Theme=Imagery","2652097")</f>
        <v>2652097</v>
      </c>
      <c r="G412" s="37" t="s">
        <v>3019</v>
      </c>
      <c r="H412" s="38">
        <v>44061</v>
      </c>
      <c r="I412" s="39">
        <v>86032</v>
      </c>
      <c r="J412" s="40">
        <v>0.06</v>
      </c>
      <c r="K412" s="37" t="s">
        <v>2178</v>
      </c>
      <c r="L412" s="37" t="s">
        <v>38</v>
      </c>
      <c r="M412" s="37" t="s">
        <v>5439</v>
      </c>
      <c r="N412" s="37" t="s">
        <v>5440</v>
      </c>
    </row>
    <row r="413" spans="1:14" ht="39.950000000000003" customHeight="1" x14ac:dyDescent="0.25">
      <c r="A413" s="36" t="s">
        <v>5441</v>
      </c>
      <c r="B413" s="37" t="s">
        <v>2584</v>
      </c>
      <c r="C413" s="36">
        <v>9400313</v>
      </c>
      <c r="D413" s="37" t="s">
        <v>4692</v>
      </c>
      <c r="E413" s="36" t="s">
        <v>5442</v>
      </c>
      <c r="F413" s="21" t="str">
        <f>HYPERLINK("https://psearch.kitsapgov.com/webappa/index.html?parcelID=1361328&amp;Theme=Imagery","1361328")</f>
        <v>1361328</v>
      </c>
      <c r="G413" s="37" t="s">
        <v>3019</v>
      </c>
      <c r="H413" s="38">
        <v>44665</v>
      </c>
      <c r="I413" s="39">
        <v>1245000</v>
      </c>
      <c r="J413" s="40">
        <v>37.840000000000003</v>
      </c>
      <c r="K413" s="37" t="s">
        <v>3980</v>
      </c>
      <c r="L413" s="37" t="s">
        <v>38</v>
      </c>
      <c r="M413" s="37" t="s">
        <v>5443</v>
      </c>
      <c r="N413" s="37" t="s">
        <v>5444</v>
      </c>
    </row>
    <row r="414" spans="1:14" ht="20.100000000000001" customHeight="1" x14ac:dyDescent="0.25">
      <c r="A414" s="36" t="s">
        <v>5441</v>
      </c>
      <c r="B414" s="37" t="s">
        <v>2584</v>
      </c>
      <c r="C414" s="36">
        <v>7400313</v>
      </c>
      <c r="D414" s="37" t="s">
        <v>5445</v>
      </c>
      <c r="E414" s="36" t="s">
        <v>5446</v>
      </c>
      <c r="F414" s="21" t="str">
        <f>HYPERLINK("https://psearch.kitsapgov.com/webappa/index.html?parcelID=1361336&amp;Theme=Imagery","1361336")</f>
        <v>1361336</v>
      </c>
      <c r="G414" s="37" t="s">
        <v>3019</v>
      </c>
      <c r="H414" s="38">
        <v>44665</v>
      </c>
      <c r="I414" s="39">
        <v>1245000</v>
      </c>
      <c r="J414" s="40">
        <v>20.3</v>
      </c>
      <c r="K414" s="37" t="s">
        <v>3980</v>
      </c>
      <c r="L414" s="37" t="s">
        <v>2587</v>
      </c>
      <c r="M414" s="37" t="s">
        <v>5447</v>
      </c>
      <c r="N414" s="37" t="s">
        <v>5448</v>
      </c>
    </row>
    <row r="415" spans="1:14" ht="20.100000000000001" customHeight="1" x14ac:dyDescent="0.25">
      <c r="A415" s="36" t="s">
        <v>5441</v>
      </c>
      <c r="B415" s="37" t="s">
        <v>3760</v>
      </c>
      <c r="C415" s="36">
        <v>7400313</v>
      </c>
      <c r="D415" s="37" t="s">
        <v>5445</v>
      </c>
      <c r="E415" s="36" t="s">
        <v>5449</v>
      </c>
      <c r="F415" s="21" t="str">
        <f>HYPERLINK("https://psearch.kitsapgov.com/webappa/index.html?parcelID=1361344&amp;Theme=Imagery","1361344")</f>
        <v>1361344</v>
      </c>
      <c r="G415" s="37" t="s">
        <v>3019</v>
      </c>
      <c r="H415" s="38">
        <v>44665</v>
      </c>
      <c r="I415" s="39">
        <v>1245000</v>
      </c>
      <c r="J415" s="40">
        <v>1.94</v>
      </c>
      <c r="K415" s="37" t="s">
        <v>3493</v>
      </c>
      <c r="L415" s="37" t="s">
        <v>2587</v>
      </c>
      <c r="M415" s="37" t="s">
        <v>5447</v>
      </c>
      <c r="N415" s="37" t="s">
        <v>5448</v>
      </c>
    </row>
    <row r="416" spans="1:14" ht="20.100000000000001" customHeight="1" x14ac:dyDescent="0.25">
      <c r="A416" s="36" t="s">
        <v>5441</v>
      </c>
      <c r="B416" s="37" t="s">
        <v>3760</v>
      </c>
      <c r="C416" s="36">
        <v>7400313</v>
      </c>
      <c r="D416" s="37" t="s">
        <v>5445</v>
      </c>
      <c r="E416" s="36" t="s">
        <v>5450</v>
      </c>
      <c r="F416" s="21" t="str">
        <f>HYPERLINK("https://psearch.kitsapgov.com/webappa/index.html?parcelID=1361484&amp;Theme=Imagery","1361484")</f>
        <v>1361484</v>
      </c>
      <c r="G416" s="37" t="s">
        <v>3019</v>
      </c>
      <c r="H416" s="38">
        <v>44665</v>
      </c>
      <c r="I416" s="39">
        <v>1245000</v>
      </c>
      <c r="J416" s="40">
        <v>2.1</v>
      </c>
      <c r="K416" s="37" t="s">
        <v>3493</v>
      </c>
      <c r="L416" s="37" t="s">
        <v>2587</v>
      </c>
      <c r="M416" s="37" t="s">
        <v>5447</v>
      </c>
      <c r="N416" s="37" t="s">
        <v>5448</v>
      </c>
    </row>
    <row r="417" spans="1:14" ht="39.950000000000003" customHeight="1" x14ac:dyDescent="0.25">
      <c r="A417" s="36" t="s">
        <v>5451</v>
      </c>
      <c r="B417" s="37" t="s">
        <v>222</v>
      </c>
      <c r="C417" s="36">
        <v>8402307</v>
      </c>
      <c r="D417" s="37" t="s">
        <v>131</v>
      </c>
      <c r="E417" s="36" t="s">
        <v>5452</v>
      </c>
      <c r="F417" s="21" t="str">
        <f>HYPERLINK("https://psearch.kitsapgov.com/webappa/index.html?parcelID=2360915&amp;Theme=Imagery","2360915")</f>
        <v>2360915</v>
      </c>
      <c r="G417" s="37" t="s">
        <v>5453</v>
      </c>
      <c r="H417" s="38">
        <v>44672</v>
      </c>
      <c r="I417" s="39">
        <v>2850000</v>
      </c>
      <c r="J417" s="40">
        <v>0.71</v>
      </c>
      <c r="K417" s="37" t="s">
        <v>37</v>
      </c>
      <c r="L417" s="37" t="s">
        <v>4517</v>
      </c>
      <c r="M417" s="37" t="s">
        <v>5454</v>
      </c>
      <c r="N417" s="37" t="s">
        <v>5455</v>
      </c>
    </row>
    <row r="418" spans="1:14" ht="20.100000000000001" customHeight="1" x14ac:dyDescent="0.25">
      <c r="A418" s="36" t="s">
        <v>5451</v>
      </c>
      <c r="B418" s="37" t="s">
        <v>222</v>
      </c>
      <c r="C418" s="36">
        <v>8402307</v>
      </c>
      <c r="D418" s="37" t="s">
        <v>131</v>
      </c>
      <c r="E418" s="36" t="s">
        <v>5456</v>
      </c>
      <c r="F418" s="21" t="str">
        <f>HYPERLINK("https://psearch.kitsapgov.com/webappa/index.html?parcelID=2360923&amp;Theme=Imagery","2360923")</f>
        <v>2360923</v>
      </c>
      <c r="G418" s="37" t="s">
        <v>5457</v>
      </c>
      <c r="H418" s="38">
        <v>44672</v>
      </c>
      <c r="I418" s="39">
        <v>2850000</v>
      </c>
      <c r="J418" s="40">
        <v>0.62</v>
      </c>
      <c r="K418" s="37" t="s">
        <v>37</v>
      </c>
      <c r="L418" s="37" t="s">
        <v>4517</v>
      </c>
      <c r="M418" s="37" t="s">
        <v>5454</v>
      </c>
      <c r="N418" s="37" t="s">
        <v>5455</v>
      </c>
    </row>
    <row r="419" spans="1:14" ht="20.100000000000001" customHeight="1" x14ac:dyDescent="0.25">
      <c r="A419" s="36" t="s">
        <v>5451</v>
      </c>
      <c r="B419" s="37" t="s">
        <v>222</v>
      </c>
      <c r="C419" s="36">
        <v>8402307</v>
      </c>
      <c r="D419" s="37" t="s">
        <v>131</v>
      </c>
      <c r="E419" s="36" t="s">
        <v>5458</v>
      </c>
      <c r="F419" s="21" t="str">
        <f>HYPERLINK("https://psearch.kitsapgov.com/webappa/index.html?parcelID=2360931&amp;Theme=Imagery","2360931")</f>
        <v>2360931</v>
      </c>
      <c r="G419" s="37" t="s">
        <v>5459</v>
      </c>
      <c r="H419" s="38">
        <v>44672</v>
      </c>
      <c r="I419" s="39">
        <v>2850000</v>
      </c>
      <c r="J419" s="40">
        <v>0.44</v>
      </c>
      <c r="K419" s="37" t="s">
        <v>37</v>
      </c>
      <c r="L419" s="37" t="s">
        <v>4517</v>
      </c>
      <c r="M419" s="37" t="s">
        <v>5454</v>
      </c>
      <c r="N419" s="37" t="s">
        <v>5455</v>
      </c>
    </row>
    <row r="420" spans="1:14" ht="39.950000000000003" customHeight="1" x14ac:dyDescent="0.25">
      <c r="A420" s="36" t="s">
        <v>5460</v>
      </c>
      <c r="B420" s="37" t="s">
        <v>185</v>
      </c>
      <c r="C420" s="36">
        <v>9402395</v>
      </c>
      <c r="D420" s="37" t="s">
        <v>1216</v>
      </c>
      <c r="E420" s="36" t="s">
        <v>5461</v>
      </c>
      <c r="F420" s="21" t="str">
        <f>HYPERLINK("https://psearch.kitsapgov.com/webappa/index.html?parcelID=1161850&amp;Theme=Imagery","1161850")</f>
        <v>1161850</v>
      </c>
      <c r="G420" s="37" t="s">
        <v>5462</v>
      </c>
      <c r="H420" s="38">
        <v>44427</v>
      </c>
      <c r="I420" s="39">
        <v>375113</v>
      </c>
      <c r="J420" s="40">
        <v>0.18</v>
      </c>
      <c r="K420" s="37" t="s">
        <v>874</v>
      </c>
      <c r="L420" s="37" t="s">
        <v>94</v>
      </c>
      <c r="M420" s="37" t="s">
        <v>5463</v>
      </c>
      <c r="N420" s="37" t="s">
        <v>5464</v>
      </c>
    </row>
    <row r="421" spans="1:14" ht="20.100000000000001" customHeight="1" x14ac:dyDescent="0.25">
      <c r="A421" s="36" t="s">
        <v>5460</v>
      </c>
      <c r="B421" s="37" t="s">
        <v>185</v>
      </c>
      <c r="C421" s="36">
        <v>9402395</v>
      </c>
      <c r="D421" s="37" t="s">
        <v>1216</v>
      </c>
      <c r="E421" s="36" t="s">
        <v>5465</v>
      </c>
      <c r="F421" s="21" t="str">
        <f>HYPERLINK("https://psearch.kitsapgov.com/webappa/index.html?parcelID=1987643&amp;Theme=Imagery","1987643")</f>
        <v>1987643</v>
      </c>
      <c r="G421" s="37" t="s">
        <v>5466</v>
      </c>
      <c r="H421" s="38">
        <v>44427</v>
      </c>
      <c r="I421" s="39">
        <v>375113</v>
      </c>
      <c r="J421" s="40">
        <v>0.23</v>
      </c>
      <c r="K421" s="37" t="s">
        <v>874</v>
      </c>
      <c r="L421" s="37" t="s">
        <v>94</v>
      </c>
      <c r="M421" s="37" t="s">
        <v>5463</v>
      </c>
      <c r="N421" s="37" t="s">
        <v>5464</v>
      </c>
    </row>
    <row r="422" spans="1:14" ht="20.100000000000001" customHeight="1" x14ac:dyDescent="0.25">
      <c r="A422" s="36" t="s">
        <v>5460</v>
      </c>
      <c r="B422" s="37" t="s">
        <v>185</v>
      </c>
      <c r="C422" s="36">
        <v>9402395</v>
      </c>
      <c r="D422" s="37" t="s">
        <v>1216</v>
      </c>
      <c r="E422" s="36" t="s">
        <v>5467</v>
      </c>
      <c r="F422" s="21" t="str">
        <f>HYPERLINK("https://psearch.kitsapgov.com/webappa/index.html?parcelID=1513456&amp;Theme=Imagery","1513456")</f>
        <v>1513456</v>
      </c>
      <c r="G422" s="37" t="s">
        <v>5466</v>
      </c>
      <c r="H422" s="38">
        <v>44427</v>
      </c>
      <c r="I422" s="39">
        <v>375113</v>
      </c>
      <c r="J422" s="40">
        <v>0.28999999999999998</v>
      </c>
      <c r="K422" s="37" t="s">
        <v>874</v>
      </c>
      <c r="L422" s="37" t="s">
        <v>94</v>
      </c>
      <c r="M422" s="37" t="s">
        <v>5463</v>
      </c>
      <c r="N422" s="37" t="s">
        <v>5464</v>
      </c>
    </row>
    <row r="423" spans="1:14" ht="39.950000000000003" customHeight="1" x14ac:dyDescent="0.25">
      <c r="A423" s="36" t="s">
        <v>5468</v>
      </c>
      <c r="B423" s="37" t="s">
        <v>185</v>
      </c>
      <c r="C423" s="36">
        <v>9402395</v>
      </c>
      <c r="D423" s="37" t="s">
        <v>1216</v>
      </c>
      <c r="E423" s="36" t="s">
        <v>5461</v>
      </c>
      <c r="F423" s="21" t="str">
        <f>HYPERLINK("https://psearch.kitsapgov.com/webappa/index.html?parcelID=1161850&amp;Theme=Imagery","1161850")</f>
        <v>1161850</v>
      </c>
      <c r="G423" s="37" t="s">
        <v>5462</v>
      </c>
      <c r="H423" s="38">
        <v>44433</v>
      </c>
      <c r="I423" s="39">
        <v>161321</v>
      </c>
      <c r="J423" s="40">
        <v>0.18</v>
      </c>
      <c r="K423" s="37" t="s">
        <v>874</v>
      </c>
      <c r="L423" s="37" t="s">
        <v>94</v>
      </c>
      <c r="M423" s="37" t="s">
        <v>5469</v>
      </c>
      <c r="N423" s="37" t="s">
        <v>5464</v>
      </c>
    </row>
    <row r="424" spans="1:14" ht="20.100000000000001" customHeight="1" x14ac:dyDescent="0.25">
      <c r="A424" s="36" t="s">
        <v>5468</v>
      </c>
      <c r="B424" s="37" t="s">
        <v>185</v>
      </c>
      <c r="C424" s="36">
        <v>9402395</v>
      </c>
      <c r="D424" s="37" t="s">
        <v>1216</v>
      </c>
      <c r="E424" s="36" t="s">
        <v>5465</v>
      </c>
      <c r="F424" s="21" t="str">
        <f>HYPERLINK("https://psearch.kitsapgov.com/webappa/index.html?parcelID=1987643&amp;Theme=Imagery","1987643")</f>
        <v>1987643</v>
      </c>
      <c r="G424" s="37" t="s">
        <v>5466</v>
      </c>
      <c r="H424" s="38">
        <v>44433</v>
      </c>
      <c r="I424" s="39">
        <v>161321</v>
      </c>
      <c r="J424" s="40">
        <v>0.23</v>
      </c>
      <c r="K424" s="37" t="s">
        <v>874</v>
      </c>
      <c r="L424" s="37" t="s">
        <v>94</v>
      </c>
      <c r="M424" s="37" t="s">
        <v>5469</v>
      </c>
      <c r="N424" s="37" t="s">
        <v>5464</v>
      </c>
    </row>
    <row r="425" spans="1:14" ht="20.100000000000001" customHeight="1" x14ac:dyDescent="0.25">
      <c r="A425" s="36" t="s">
        <v>5468</v>
      </c>
      <c r="B425" s="37" t="s">
        <v>185</v>
      </c>
      <c r="C425" s="36">
        <v>9402395</v>
      </c>
      <c r="D425" s="37" t="s">
        <v>1216</v>
      </c>
      <c r="E425" s="36" t="s">
        <v>5467</v>
      </c>
      <c r="F425" s="21" t="str">
        <f>HYPERLINK("https://psearch.kitsapgov.com/webappa/index.html?parcelID=1513456&amp;Theme=Imagery","1513456")</f>
        <v>1513456</v>
      </c>
      <c r="G425" s="37" t="s">
        <v>5466</v>
      </c>
      <c r="H425" s="38">
        <v>44433</v>
      </c>
      <c r="I425" s="39">
        <v>161321</v>
      </c>
      <c r="J425" s="40">
        <v>0.28999999999999998</v>
      </c>
      <c r="K425" s="37" t="s">
        <v>874</v>
      </c>
      <c r="L425" s="37" t="s">
        <v>94</v>
      </c>
      <c r="M425" s="37" t="s">
        <v>5469</v>
      </c>
      <c r="N425" s="37" t="s">
        <v>5464</v>
      </c>
    </row>
    <row r="426" spans="1:14" ht="39.950000000000003" customHeight="1" x14ac:dyDescent="0.25">
      <c r="A426" s="36" t="s">
        <v>5470</v>
      </c>
      <c r="B426" s="37" t="s">
        <v>185</v>
      </c>
      <c r="C426" s="36">
        <v>9402395</v>
      </c>
      <c r="D426" s="37" t="s">
        <v>1216</v>
      </c>
      <c r="E426" s="36" t="s">
        <v>5461</v>
      </c>
      <c r="F426" s="21" t="str">
        <f>HYPERLINK("https://psearch.kitsapgov.com/webappa/index.html?parcelID=1161850&amp;Theme=Imagery","1161850")</f>
        <v>1161850</v>
      </c>
      <c r="G426" s="37" t="s">
        <v>5462</v>
      </c>
      <c r="H426" s="38">
        <v>44433</v>
      </c>
      <c r="I426" s="39">
        <v>375113</v>
      </c>
      <c r="J426" s="40">
        <v>0.18</v>
      </c>
      <c r="K426" s="37" t="s">
        <v>874</v>
      </c>
      <c r="L426" s="37" t="s">
        <v>94</v>
      </c>
      <c r="M426" s="37" t="s">
        <v>5471</v>
      </c>
      <c r="N426" s="37" t="s">
        <v>5464</v>
      </c>
    </row>
    <row r="427" spans="1:14" ht="20.100000000000001" customHeight="1" x14ac:dyDescent="0.25">
      <c r="A427" s="36" t="s">
        <v>5470</v>
      </c>
      <c r="B427" s="37" t="s">
        <v>185</v>
      </c>
      <c r="C427" s="36">
        <v>9402395</v>
      </c>
      <c r="D427" s="37" t="s">
        <v>1216</v>
      </c>
      <c r="E427" s="36" t="s">
        <v>5465</v>
      </c>
      <c r="F427" s="21" t="str">
        <f>HYPERLINK("https://psearch.kitsapgov.com/webappa/index.html?parcelID=1987643&amp;Theme=Imagery","1987643")</f>
        <v>1987643</v>
      </c>
      <c r="G427" s="37" t="s">
        <v>5466</v>
      </c>
      <c r="H427" s="38">
        <v>44433</v>
      </c>
      <c r="I427" s="39">
        <v>375113</v>
      </c>
      <c r="J427" s="40">
        <v>0.23</v>
      </c>
      <c r="K427" s="37" t="s">
        <v>874</v>
      </c>
      <c r="L427" s="37" t="s">
        <v>94</v>
      </c>
      <c r="M427" s="37" t="s">
        <v>5471</v>
      </c>
      <c r="N427" s="37" t="s">
        <v>5464</v>
      </c>
    </row>
    <row r="428" spans="1:14" ht="20.100000000000001" customHeight="1" x14ac:dyDescent="0.25">
      <c r="A428" s="36" t="s">
        <v>5470</v>
      </c>
      <c r="B428" s="37" t="s">
        <v>185</v>
      </c>
      <c r="C428" s="36">
        <v>9402395</v>
      </c>
      <c r="D428" s="37" t="s">
        <v>1216</v>
      </c>
      <c r="E428" s="36" t="s">
        <v>5467</v>
      </c>
      <c r="F428" s="21" t="str">
        <f>HYPERLINK("https://psearch.kitsapgov.com/webappa/index.html?parcelID=1513456&amp;Theme=Imagery","1513456")</f>
        <v>1513456</v>
      </c>
      <c r="G428" s="37" t="s">
        <v>5466</v>
      </c>
      <c r="H428" s="38">
        <v>44433</v>
      </c>
      <c r="I428" s="39">
        <v>375113</v>
      </c>
      <c r="J428" s="40">
        <v>0.28999999999999998</v>
      </c>
      <c r="K428" s="37" t="s">
        <v>874</v>
      </c>
      <c r="L428" s="37" t="s">
        <v>94</v>
      </c>
      <c r="M428" s="37" t="s">
        <v>5471</v>
      </c>
      <c r="N428" s="37" t="s">
        <v>5464</v>
      </c>
    </row>
    <row r="429" spans="1:14" ht="39.950000000000003" customHeight="1" x14ac:dyDescent="0.25">
      <c r="A429" s="36" t="s">
        <v>5472</v>
      </c>
      <c r="B429" s="37" t="s">
        <v>185</v>
      </c>
      <c r="C429" s="36">
        <v>9402395</v>
      </c>
      <c r="D429" s="37" t="s">
        <v>1216</v>
      </c>
      <c r="E429" s="36" t="s">
        <v>5461</v>
      </c>
      <c r="F429" s="21" t="str">
        <f>HYPERLINK("https://psearch.kitsapgov.com/webappa/index.html?parcelID=1161850&amp;Theme=Imagery","1161850")</f>
        <v>1161850</v>
      </c>
      <c r="G429" s="37" t="s">
        <v>5462</v>
      </c>
      <c r="H429" s="38">
        <v>44421</v>
      </c>
      <c r="I429" s="39">
        <v>375113</v>
      </c>
      <c r="J429" s="40">
        <v>0.18</v>
      </c>
      <c r="K429" s="37" t="s">
        <v>874</v>
      </c>
      <c r="L429" s="37" t="s">
        <v>94</v>
      </c>
      <c r="M429" s="37" t="s">
        <v>5473</v>
      </c>
      <c r="N429" s="37" t="s">
        <v>5464</v>
      </c>
    </row>
    <row r="430" spans="1:14" ht="20.100000000000001" customHeight="1" x14ac:dyDescent="0.25">
      <c r="A430" s="36" t="s">
        <v>5472</v>
      </c>
      <c r="B430" s="37" t="s">
        <v>185</v>
      </c>
      <c r="C430" s="36">
        <v>9402395</v>
      </c>
      <c r="D430" s="37" t="s">
        <v>1216</v>
      </c>
      <c r="E430" s="36" t="s">
        <v>5465</v>
      </c>
      <c r="F430" s="21" t="str">
        <f>HYPERLINK("https://psearch.kitsapgov.com/webappa/index.html?parcelID=1987643&amp;Theme=Imagery","1987643")</f>
        <v>1987643</v>
      </c>
      <c r="G430" s="37" t="s">
        <v>5466</v>
      </c>
      <c r="H430" s="38">
        <v>44421</v>
      </c>
      <c r="I430" s="39">
        <v>375113</v>
      </c>
      <c r="J430" s="40">
        <v>0.23</v>
      </c>
      <c r="K430" s="37" t="s">
        <v>874</v>
      </c>
      <c r="L430" s="37" t="s">
        <v>94</v>
      </c>
      <c r="M430" s="37" t="s">
        <v>5473</v>
      </c>
      <c r="N430" s="37" t="s">
        <v>5464</v>
      </c>
    </row>
    <row r="431" spans="1:14" ht="20.100000000000001" customHeight="1" x14ac:dyDescent="0.25">
      <c r="A431" s="36" t="s">
        <v>5472</v>
      </c>
      <c r="B431" s="37" t="s">
        <v>185</v>
      </c>
      <c r="C431" s="36">
        <v>9402395</v>
      </c>
      <c r="D431" s="37" t="s">
        <v>1216</v>
      </c>
      <c r="E431" s="36" t="s">
        <v>5467</v>
      </c>
      <c r="F431" s="21" t="str">
        <f>HYPERLINK("https://psearch.kitsapgov.com/webappa/index.html?parcelID=1513456&amp;Theme=Imagery","1513456")</f>
        <v>1513456</v>
      </c>
      <c r="G431" s="37" t="s">
        <v>5466</v>
      </c>
      <c r="H431" s="38">
        <v>44421</v>
      </c>
      <c r="I431" s="39">
        <v>375113</v>
      </c>
      <c r="J431" s="40">
        <v>0.28999999999999998</v>
      </c>
      <c r="K431" s="37" t="s">
        <v>874</v>
      </c>
      <c r="L431" s="37" t="s">
        <v>94</v>
      </c>
      <c r="M431" s="37" t="s">
        <v>5473</v>
      </c>
      <c r="N431" s="37" t="s">
        <v>5464</v>
      </c>
    </row>
    <row r="432" spans="1:14" ht="39.950000000000003" customHeight="1" x14ac:dyDescent="0.25">
      <c r="A432" s="36" t="s">
        <v>5474</v>
      </c>
      <c r="B432" s="37" t="s">
        <v>16</v>
      </c>
      <c r="C432" s="36">
        <v>8303601</v>
      </c>
      <c r="D432" s="37" t="s">
        <v>25</v>
      </c>
      <c r="E432" s="36" t="s">
        <v>5475</v>
      </c>
      <c r="F432" s="21" t="str">
        <f>HYPERLINK("https://psearch.kitsapgov.com/webappa/index.html?parcelID=2328326&amp;Theme=Imagery","2328326")</f>
        <v>2328326</v>
      </c>
      <c r="G432" s="37" t="s">
        <v>5476</v>
      </c>
      <c r="H432" s="38">
        <v>44685</v>
      </c>
      <c r="I432" s="39">
        <v>450000</v>
      </c>
      <c r="J432" s="40">
        <v>0</v>
      </c>
      <c r="L432" s="37" t="s">
        <v>4517</v>
      </c>
      <c r="M432" s="37" t="s">
        <v>5477</v>
      </c>
      <c r="N432" s="37" t="s">
        <v>5478</v>
      </c>
    </row>
    <row r="433" spans="1:14" ht="20.100000000000001" customHeight="1" x14ac:dyDescent="0.25">
      <c r="A433" s="36" t="s">
        <v>5474</v>
      </c>
      <c r="B433" s="37" t="s">
        <v>16</v>
      </c>
      <c r="C433" s="36">
        <v>8303601</v>
      </c>
      <c r="D433" s="37" t="s">
        <v>25</v>
      </c>
      <c r="E433" s="36" t="s">
        <v>5479</v>
      </c>
      <c r="F433" s="21" t="str">
        <f>HYPERLINK("https://psearch.kitsapgov.com/webappa/index.html?parcelID=2328334&amp;Theme=Imagery","2328334")</f>
        <v>2328334</v>
      </c>
      <c r="G433" s="37" t="s">
        <v>5480</v>
      </c>
      <c r="H433" s="38">
        <v>44685</v>
      </c>
      <c r="I433" s="39">
        <v>450000</v>
      </c>
      <c r="J433" s="40">
        <v>0</v>
      </c>
      <c r="L433" s="37" t="s">
        <v>4517</v>
      </c>
      <c r="M433" s="37" t="s">
        <v>5477</v>
      </c>
      <c r="N433" s="37" t="s">
        <v>5478</v>
      </c>
    </row>
    <row r="434" spans="1:14" ht="39.950000000000003" customHeight="1" x14ac:dyDescent="0.25">
      <c r="A434" s="36" t="s">
        <v>5481</v>
      </c>
      <c r="B434" s="37" t="s">
        <v>159</v>
      </c>
      <c r="C434" s="36">
        <v>8100506</v>
      </c>
      <c r="D434" s="37" t="s">
        <v>286</v>
      </c>
      <c r="E434" s="36" t="s">
        <v>5482</v>
      </c>
      <c r="F434" s="21" t="str">
        <f>HYPERLINK("https://psearch.kitsapgov.com/webappa/index.html?parcelID=1493733&amp;Theme=Imagery","1493733")</f>
        <v>1493733</v>
      </c>
      <c r="G434" s="37" t="s">
        <v>5483</v>
      </c>
      <c r="H434" s="38">
        <v>44699</v>
      </c>
      <c r="I434" s="39">
        <v>835000</v>
      </c>
      <c r="J434" s="40">
        <v>0.34</v>
      </c>
      <c r="K434" s="37" t="s">
        <v>168</v>
      </c>
      <c r="L434" s="37" t="s">
        <v>4517</v>
      </c>
      <c r="M434" s="37" t="s">
        <v>5484</v>
      </c>
      <c r="N434" s="37" t="s">
        <v>5485</v>
      </c>
    </row>
    <row r="435" spans="1:14" ht="20.100000000000001" customHeight="1" x14ac:dyDescent="0.25">
      <c r="A435" s="36" t="s">
        <v>5481</v>
      </c>
      <c r="B435" s="37" t="s">
        <v>159</v>
      </c>
      <c r="C435" s="36">
        <v>8100506</v>
      </c>
      <c r="D435" s="37" t="s">
        <v>286</v>
      </c>
      <c r="E435" s="36" t="s">
        <v>5486</v>
      </c>
      <c r="F435" s="21" t="str">
        <f>HYPERLINK("https://psearch.kitsapgov.com/webappa/index.html?parcelID=1493741&amp;Theme=Imagery","1493741")</f>
        <v>1493741</v>
      </c>
      <c r="G435" s="37" t="s">
        <v>5487</v>
      </c>
      <c r="H435" s="38">
        <v>44699</v>
      </c>
      <c r="I435" s="39">
        <v>835000</v>
      </c>
      <c r="J435" s="40">
        <v>0.22</v>
      </c>
      <c r="K435" s="37" t="s">
        <v>168</v>
      </c>
      <c r="L435" s="37" t="s">
        <v>4517</v>
      </c>
      <c r="M435" s="37" t="s">
        <v>5484</v>
      </c>
      <c r="N435" s="37" t="s">
        <v>5485</v>
      </c>
    </row>
    <row r="436" spans="1:14" ht="20.100000000000001" customHeight="1" x14ac:dyDescent="0.25">
      <c r="A436" s="36" t="s">
        <v>5481</v>
      </c>
      <c r="B436" s="37" t="s">
        <v>159</v>
      </c>
      <c r="C436" s="36">
        <v>8100506</v>
      </c>
      <c r="D436" s="37" t="s">
        <v>286</v>
      </c>
      <c r="E436" s="36" t="s">
        <v>5488</v>
      </c>
      <c r="F436" s="21" t="str">
        <f>HYPERLINK("https://psearch.kitsapgov.com/webappa/index.html?parcelID=1493758&amp;Theme=Imagery","1493758")</f>
        <v>1493758</v>
      </c>
      <c r="G436" s="37" t="s">
        <v>5489</v>
      </c>
      <c r="H436" s="38">
        <v>44699</v>
      </c>
      <c r="I436" s="39">
        <v>835000</v>
      </c>
      <c r="J436" s="40">
        <v>0.16</v>
      </c>
      <c r="K436" s="37" t="s">
        <v>168</v>
      </c>
      <c r="L436" s="37" t="s">
        <v>4517</v>
      </c>
      <c r="M436" s="37" t="s">
        <v>5484</v>
      </c>
      <c r="N436" s="37" t="s">
        <v>5485</v>
      </c>
    </row>
    <row r="437" spans="1:14" ht="39.950000000000003" customHeight="1" x14ac:dyDescent="0.25">
      <c r="A437" s="36" t="s">
        <v>5490</v>
      </c>
      <c r="B437" s="37" t="s">
        <v>70</v>
      </c>
      <c r="C437" s="36">
        <v>8401102</v>
      </c>
      <c r="D437" s="37" t="s">
        <v>17</v>
      </c>
      <c r="E437" s="36" t="s">
        <v>5491</v>
      </c>
      <c r="F437" s="21" t="str">
        <f>HYPERLINK("https://psearch.kitsapgov.com/webappa/index.html?parcelID=1978683&amp;Theme=Imagery","1978683")</f>
        <v>1978683</v>
      </c>
      <c r="G437" s="37" t="s">
        <v>5492</v>
      </c>
      <c r="H437" s="38">
        <v>44708</v>
      </c>
      <c r="I437" s="39">
        <v>344000</v>
      </c>
      <c r="J437" s="40">
        <v>7.0000000000000007E-2</v>
      </c>
      <c r="K437" s="37" t="s">
        <v>679</v>
      </c>
      <c r="L437" s="37" t="s">
        <v>4517</v>
      </c>
      <c r="M437" s="37" t="s">
        <v>5493</v>
      </c>
      <c r="N437" s="37" t="s">
        <v>5494</v>
      </c>
    </row>
    <row r="438" spans="1:14" ht="20.100000000000001" customHeight="1" x14ac:dyDescent="0.25">
      <c r="A438" s="36" t="s">
        <v>5490</v>
      </c>
      <c r="B438" s="37" t="s">
        <v>105</v>
      </c>
      <c r="C438" s="36">
        <v>8401102</v>
      </c>
      <c r="D438" s="37" t="s">
        <v>17</v>
      </c>
      <c r="E438" s="36" t="s">
        <v>5495</v>
      </c>
      <c r="F438" s="21" t="str">
        <f>HYPERLINK("https://psearch.kitsapgov.com/webappa/index.html?parcelID=1978691&amp;Theme=Imagery","1978691")</f>
        <v>1978691</v>
      </c>
      <c r="G438" s="37" t="s">
        <v>5496</v>
      </c>
      <c r="H438" s="38">
        <v>44708</v>
      </c>
      <c r="I438" s="39">
        <v>344000</v>
      </c>
      <c r="J438" s="40">
        <v>0.04</v>
      </c>
      <c r="K438" s="37" t="s">
        <v>679</v>
      </c>
      <c r="L438" s="37" t="s">
        <v>4517</v>
      </c>
      <c r="M438" s="37" t="s">
        <v>5493</v>
      </c>
      <c r="N438" s="37" t="s">
        <v>5494</v>
      </c>
    </row>
    <row r="439" spans="1:14" ht="39.950000000000003" customHeight="1" x14ac:dyDescent="0.25">
      <c r="A439" s="36" t="s">
        <v>5497</v>
      </c>
      <c r="B439" s="37" t="s">
        <v>909</v>
      </c>
      <c r="C439" s="36">
        <v>8303601</v>
      </c>
      <c r="D439" s="37" t="s">
        <v>25</v>
      </c>
      <c r="E439" s="36" t="s">
        <v>4759</v>
      </c>
      <c r="F439" s="21" t="str">
        <f>HYPERLINK("https://psearch.kitsapgov.com/webappa/index.html?parcelID=2434181&amp;Theme=Imagery","2434181")</f>
        <v>2434181</v>
      </c>
      <c r="G439" s="37" t="s">
        <v>4760</v>
      </c>
      <c r="H439" s="38">
        <v>44715</v>
      </c>
      <c r="I439" s="39">
        <v>318348</v>
      </c>
      <c r="J439" s="40">
        <v>4.9800000000000004</v>
      </c>
      <c r="K439" s="37" t="s">
        <v>421</v>
      </c>
      <c r="L439" s="37" t="s">
        <v>38</v>
      </c>
      <c r="M439" s="37" t="s">
        <v>5498</v>
      </c>
      <c r="N439" s="37" t="s">
        <v>4052</v>
      </c>
    </row>
    <row r="440" spans="1:14" ht="20.100000000000001" customHeight="1" x14ac:dyDescent="0.25">
      <c r="A440" s="36" t="s">
        <v>5497</v>
      </c>
      <c r="B440" s="37" t="s">
        <v>5499</v>
      </c>
      <c r="C440" s="36">
        <v>96</v>
      </c>
      <c r="D440" s="37" t="s">
        <v>4812</v>
      </c>
      <c r="E440" s="36" t="s">
        <v>5500</v>
      </c>
      <c r="F440" s="21" t="str">
        <f>HYPERLINK("https://psearch.kitsapgov.com/webappa/index.html?parcelID=1517879&amp;Theme=Imagery","1517879")</f>
        <v>1517879</v>
      </c>
      <c r="G440" s="37" t="s">
        <v>5501</v>
      </c>
      <c r="H440" s="38">
        <v>44715</v>
      </c>
      <c r="I440" s="39">
        <v>318348</v>
      </c>
      <c r="J440" s="40">
        <v>5.54</v>
      </c>
      <c r="L440" s="37" t="s">
        <v>38</v>
      </c>
      <c r="M440" s="37" t="s">
        <v>5498</v>
      </c>
      <c r="N440" s="37" t="s">
        <v>4052</v>
      </c>
    </row>
    <row r="441" spans="1:14" ht="39.950000000000003" customHeight="1" x14ac:dyDescent="0.25">
      <c r="A441" s="36" t="s">
        <v>5502</v>
      </c>
      <c r="B441" s="37" t="s">
        <v>185</v>
      </c>
      <c r="C441" s="36">
        <v>9402395</v>
      </c>
      <c r="D441" s="37" t="s">
        <v>1216</v>
      </c>
      <c r="E441" s="36" t="s">
        <v>5461</v>
      </c>
      <c r="F441" s="21" t="str">
        <f>HYPERLINK("https://psearch.kitsapgov.com/webappa/index.html?parcelID=1161850&amp;Theme=Imagery","1161850")</f>
        <v>1161850</v>
      </c>
      <c r="G441" s="37" t="s">
        <v>5462</v>
      </c>
      <c r="H441" s="38">
        <v>44712</v>
      </c>
      <c r="I441" s="39">
        <v>187558</v>
      </c>
      <c r="J441" s="40">
        <v>0.18</v>
      </c>
      <c r="K441" s="37" t="s">
        <v>874</v>
      </c>
      <c r="L441" s="37" t="s">
        <v>94</v>
      </c>
      <c r="M441" s="37" t="s">
        <v>5503</v>
      </c>
      <c r="N441" s="37" t="s">
        <v>5464</v>
      </c>
    </row>
    <row r="442" spans="1:14" ht="20.100000000000001" customHeight="1" x14ac:dyDescent="0.25">
      <c r="A442" s="36" t="s">
        <v>5502</v>
      </c>
      <c r="B442" s="37" t="s">
        <v>185</v>
      </c>
      <c r="C442" s="36">
        <v>9402395</v>
      </c>
      <c r="D442" s="37" t="s">
        <v>1216</v>
      </c>
      <c r="E442" s="36" t="s">
        <v>5465</v>
      </c>
      <c r="F442" s="21" t="str">
        <f>HYPERLINK("https://psearch.kitsapgov.com/webappa/index.html?parcelID=1987643&amp;Theme=Imagery","1987643")</f>
        <v>1987643</v>
      </c>
      <c r="G442" s="37" t="s">
        <v>5466</v>
      </c>
      <c r="H442" s="38">
        <v>44712</v>
      </c>
      <c r="I442" s="39">
        <v>187558</v>
      </c>
      <c r="J442" s="40">
        <v>0.23</v>
      </c>
      <c r="K442" s="37" t="s">
        <v>874</v>
      </c>
      <c r="L442" s="37" t="s">
        <v>94</v>
      </c>
      <c r="M442" s="37" t="s">
        <v>5503</v>
      </c>
      <c r="N442" s="37" t="s">
        <v>5464</v>
      </c>
    </row>
    <row r="443" spans="1:14" ht="20.100000000000001" customHeight="1" x14ac:dyDescent="0.25">
      <c r="A443" s="36" t="s">
        <v>5502</v>
      </c>
      <c r="B443" s="37" t="s">
        <v>185</v>
      </c>
      <c r="C443" s="36">
        <v>9402395</v>
      </c>
      <c r="D443" s="37" t="s">
        <v>1216</v>
      </c>
      <c r="E443" s="36" t="s">
        <v>5467</v>
      </c>
      <c r="F443" s="21" t="str">
        <f>HYPERLINK("https://psearch.kitsapgov.com/webappa/index.html?parcelID=1513456&amp;Theme=Imagery","1513456")</f>
        <v>1513456</v>
      </c>
      <c r="G443" s="37" t="s">
        <v>5466</v>
      </c>
      <c r="H443" s="38">
        <v>44712</v>
      </c>
      <c r="I443" s="39">
        <v>187558</v>
      </c>
      <c r="J443" s="40">
        <v>0.28999999999999998</v>
      </c>
      <c r="K443" s="37" t="s">
        <v>874</v>
      </c>
      <c r="L443" s="37" t="s">
        <v>94</v>
      </c>
      <c r="M443" s="37" t="s">
        <v>5503</v>
      </c>
      <c r="N443" s="37" t="s">
        <v>5464</v>
      </c>
    </row>
    <row r="444" spans="1:14" ht="39.950000000000003" customHeight="1" x14ac:dyDescent="0.25">
      <c r="A444" s="36" t="s">
        <v>5504</v>
      </c>
      <c r="B444" s="37" t="s">
        <v>159</v>
      </c>
      <c r="C444" s="36">
        <v>8401508</v>
      </c>
      <c r="D444" s="37" t="s">
        <v>1341</v>
      </c>
      <c r="E444" s="36" t="s">
        <v>5505</v>
      </c>
      <c r="F444" s="21" t="str">
        <f>HYPERLINK("https://psearch.kitsapgov.com/webappa/index.html?parcelID=1916378&amp;Theme=Imagery","1916378")</f>
        <v>1916378</v>
      </c>
      <c r="G444" s="37" t="s">
        <v>5506</v>
      </c>
      <c r="H444" s="38">
        <v>44718</v>
      </c>
      <c r="I444" s="39">
        <v>2200000</v>
      </c>
      <c r="J444" s="40">
        <v>1.1399999999999999</v>
      </c>
      <c r="K444" s="37" t="s">
        <v>37</v>
      </c>
      <c r="L444" s="37" t="s">
        <v>4517</v>
      </c>
      <c r="M444" s="37" t="s">
        <v>5507</v>
      </c>
      <c r="N444" s="37" t="s">
        <v>5508</v>
      </c>
    </row>
    <row r="445" spans="1:14" ht="20.100000000000001" customHeight="1" x14ac:dyDescent="0.25">
      <c r="A445" s="36" t="s">
        <v>5504</v>
      </c>
      <c r="B445" s="37" t="s">
        <v>159</v>
      </c>
      <c r="C445" s="36">
        <v>8401508</v>
      </c>
      <c r="D445" s="37" t="s">
        <v>1341</v>
      </c>
      <c r="E445" s="36" t="s">
        <v>5509</v>
      </c>
      <c r="F445" s="21" t="str">
        <f>HYPERLINK("https://psearch.kitsapgov.com/webappa/index.html?parcelID=1280007&amp;Theme=Imagery","1280007")</f>
        <v>1280007</v>
      </c>
      <c r="G445" s="37" t="s">
        <v>5510</v>
      </c>
      <c r="H445" s="38">
        <v>44718</v>
      </c>
      <c r="I445" s="39">
        <v>2200000</v>
      </c>
      <c r="J445" s="40">
        <v>0.62</v>
      </c>
      <c r="K445" s="37" t="s">
        <v>37</v>
      </c>
      <c r="L445" s="37" t="s">
        <v>4517</v>
      </c>
      <c r="M445" s="37" t="s">
        <v>5511</v>
      </c>
      <c r="N445" s="37" t="s">
        <v>5512</v>
      </c>
    </row>
    <row r="446" spans="1:14" ht="39.950000000000003" customHeight="1" x14ac:dyDescent="0.25">
      <c r="A446" s="36" t="s">
        <v>5513</v>
      </c>
      <c r="B446" s="37" t="s">
        <v>1759</v>
      </c>
      <c r="C446" s="36">
        <v>8303601</v>
      </c>
      <c r="D446" s="37" t="s">
        <v>25</v>
      </c>
      <c r="E446" s="36" t="s">
        <v>5514</v>
      </c>
      <c r="F446" s="21" t="str">
        <f>HYPERLINK("https://psearch.kitsapgov.com/webappa/index.html?parcelID=2486645&amp;Theme=Imagery","2486645")</f>
        <v>2486645</v>
      </c>
      <c r="G446" s="37" t="s">
        <v>5515</v>
      </c>
      <c r="H446" s="38">
        <v>44714</v>
      </c>
      <c r="I446" s="39">
        <v>880000</v>
      </c>
      <c r="J446" s="40">
        <v>0</v>
      </c>
      <c r="L446" s="37" t="s">
        <v>4517</v>
      </c>
      <c r="M446" s="37" t="s">
        <v>2725</v>
      </c>
      <c r="N446" s="37" t="s">
        <v>5516</v>
      </c>
    </row>
    <row r="447" spans="1:14" ht="20.100000000000001" customHeight="1" x14ac:dyDescent="0.25">
      <c r="A447" s="36" t="s">
        <v>5513</v>
      </c>
      <c r="B447" s="37" t="s">
        <v>1759</v>
      </c>
      <c r="C447" s="36">
        <v>8303601</v>
      </c>
      <c r="D447" s="37" t="s">
        <v>25</v>
      </c>
      <c r="E447" s="36" t="s">
        <v>5517</v>
      </c>
      <c r="F447" s="21" t="str">
        <f>HYPERLINK("https://psearch.kitsapgov.com/webappa/index.html?parcelID=2486652&amp;Theme=Imagery","2486652")</f>
        <v>2486652</v>
      </c>
      <c r="G447" s="37" t="s">
        <v>5518</v>
      </c>
      <c r="H447" s="38">
        <v>44714</v>
      </c>
      <c r="I447" s="39">
        <v>880000</v>
      </c>
      <c r="J447" s="40">
        <v>0</v>
      </c>
      <c r="L447" s="37" t="s">
        <v>4517</v>
      </c>
      <c r="M447" s="37" t="s">
        <v>2725</v>
      </c>
      <c r="N447" s="37" t="s">
        <v>5516</v>
      </c>
    </row>
    <row r="448" spans="1:14" ht="39.950000000000003" customHeight="1" x14ac:dyDescent="0.25">
      <c r="A448" s="36" t="s">
        <v>5519</v>
      </c>
      <c r="B448" s="37" t="s">
        <v>1948</v>
      </c>
      <c r="C448" s="36">
        <v>8100506</v>
      </c>
      <c r="D448" s="37" t="s">
        <v>286</v>
      </c>
      <c r="E448" s="36" t="s">
        <v>5520</v>
      </c>
      <c r="F448" s="21" t="str">
        <f>HYPERLINK("https://psearch.kitsapgov.com/webappa/index.html?parcelID=1104660&amp;Theme=Imagery","1104660")</f>
        <v>1104660</v>
      </c>
      <c r="G448" s="37" t="s">
        <v>5521</v>
      </c>
      <c r="H448" s="38">
        <v>44725</v>
      </c>
      <c r="I448" s="39">
        <v>2400000</v>
      </c>
      <c r="J448" s="40">
        <v>1.96</v>
      </c>
      <c r="K448" s="37" t="s">
        <v>109</v>
      </c>
      <c r="L448" s="37" t="s">
        <v>4517</v>
      </c>
      <c r="M448" s="37" t="s">
        <v>5522</v>
      </c>
      <c r="N448" s="37" t="s">
        <v>3733</v>
      </c>
    </row>
    <row r="449" spans="1:14" ht="20.100000000000001" customHeight="1" x14ac:dyDescent="0.25">
      <c r="A449" s="36" t="s">
        <v>5519</v>
      </c>
      <c r="B449" s="37" t="s">
        <v>285</v>
      </c>
      <c r="C449" s="36">
        <v>8100506</v>
      </c>
      <c r="D449" s="37" t="s">
        <v>286</v>
      </c>
      <c r="E449" s="36" t="s">
        <v>5523</v>
      </c>
      <c r="F449" s="21" t="str">
        <f>HYPERLINK("https://psearch.kitsapgov.com/webappa/index.html?parcelID=1104686&amp;Theme=Imagery","1104686")</f>
        <v>1104686</v>
      </c>
      <c r="G449" s="37" t="s">
        <v>5524</v>
      </c>
      <c r="H449" s="38">
        <v>44725</v>
      </c>
      <c r="I449" s="39">
        <v>2400000</v>
      </c>
      <c r="J449" s="40">
        <v>0</v>
      </c>
      <c r="L449" s="37" t="s">
        <v>4517</v>
      </c>
      <c r="M449" s="37" t="s">
        <v>5525</v>
      </c>
      <c r="N449" s="37" t="s">
        <v>5526</v>
      </c>
    </row>
    <row r="450" spans="1:14" ht="20.100000000000001" customHeight="1" x14ac:dyDescent="0.25">
      <c r="A450" s="36" t="s">
        <v>5519</v>
      </c>
      <c r="B450" s="37" t="s">
        <v>5002</v>
      </c>
      <c r="C450" s="36">
        <v>8100506</v>
      </c>
      <c r="D450" s="37" t="s">
        <v>286</v>
      </c>
      <c r="E450" s="36" t="s">
        <v>5527</v>
      </c>
      <c r="F450" s="21" t="str">
        <f>HYPERLINK("https://psearch.kitsapgov.com/webappa/index.html?parcelID=2319895&amp;Theme=Imagery","2319895")</f>
        <v>2319895</v>
      </c>
      <c r="G450" s="37" t="s">
        <v>5528</v>
      </c>
      <c r="H450" s="38">
        <v>44725</v>
      </c>
      <c r="I450" s="39">
        <v>2400000</v>
      </c>
      <c r="J450" s="40">
        <v>0.44</v>
      </c>
      <c r="K450" s="37" t="s">
        <v>109</v>
      </c>
      <c r="L450" s="37" t="s">
        <v>4517</v>
      </c>
      <c r="M450" s="37" t="s">
        <v>5522</v>
      </c>
      <c r="N450" s="37" t="s">
        <v>3733</v>
      </c>
    </row>
    <row r="451" spans="1:14" ht="39.950000000000003" customHeight="1" x14ac:dyDescent="0.25">
      <c r="A451" s="36" t="s">
        <v>5529</v>
      </c>
      <c r="B451" s="37" t="s">
        <v>105</v>
      </c>
      <c r="C451" s="36">
        <v>8402305</v>
      </c>
      <c r="D451" s="37" t="s">
        <v>452</v>
      </c>
      <c r="E451" s="36" t="s">
        <v>5530</v>
      </c>
      <c r="F451" s="21" t="str">
        <f>HYPERLINK("https://psearch.kitsapgov.com/webappa/index.html?parcelID=2458586&amp;Theme=Imagery","2458586")</f>
        <v>2458586</v>
      </c>
      <c r="G451" s="37" t="s">
        <v>5531</v>
      </c>
      <c r="H451" s="38">
        <v>44729</v>
      </c>
      <c r="I451" s="39">
        <v>800000</v>
      </c>
      <c r="J451" s="40">
        <v>1.55</v>
      </c>
      <c r="K451" s="37" t="s">
        <v>455</v>
      </c>
      <c r="L451" s="37" t="s">
        <v>4517</v>
      </c>
      <c r="M451" s="37" t="s">
        <v>5532</v>
      </c>
      <c r="N451" s="37" t="s">
        <v>517</v>
      </c>
    </row>
    <row r="452" spans="1:14" ht="20.100000000000001" customHeight="1" x14ac:dyDescent="0.25">
      <c r="A452" s="36" t="s">
        <v>5529</v>
      </c>
      <c r="B452" s="37" t="s">
        <v>105</v>
      </c>
      <c r="C452" s="36">
        <v>8402305</v>
      </c>
      <c r="D452" s="37" t="s">
        <v>452</v>
      </c>
      <c r="E452" s="36" t="s">
        <v>5533</v>
      </c>
      <c r="F452" s="21" t="str">
        <f>HYPERLINK("https://psearch.kitsapgov.com/webappa/index.html?parcelID=2559029&amp;Theme=Imagery","2559029")</f>
        <v>2559029</v>
      </c>
      <c r="G452" s="37" t="s">
        <v>5531</v>
      </c>
      <c r="H452" s="38">
        <v>44729</v>
      </c>
      <c r="I452" s="39">
        <v>800000</v>
      </c>
      <c r="J452" s="40">
        <v>2.59</v>
      </c>
      <c r="K452" s="37" t="s">
        <v>455</v>
      </c>
      <c r="L452" s="37" t="s">
        <v>4517</v>
      </c>
      <c r="M452" s="37" t="s">
        <v>5532</v>
      </c>
      <c r="N452" s="37" t="s">
        <v>517</v>
      </c>
    </row>
    <row r="453" spans="1:14" ht="20.100000000000001" customHeight="1" x14ac:dyDescent="0.25">
      <c r="A453" s="36" t="s">
        <v>5529</v>
      </c>
      <c r="B453" s="37" t="s">
        <v>105</v>
      </c>
      <c r="C453" s="36">
        <v>8402305</v>
      </c>
      <c r="D453" s="37" t="s">
        <v>452</v>
      </c>
      <c r="E453" s="36" t="s">
        <v>5534</v>
      </c>
      <c r="F453" s="21" t="str">
        <f>HYPERLINK("https://psearch.kitsapgov.com/webappa/index.html?parcelID=2559052&amp;Theme=Imagery","2559052")</f>
        <v>2559052</v>
      </c>
      <c r="G453" s="37" t="s">
        <v>5531</v>
      </c>
      <c r="H453" s="38">
        <v>44729</v>
      </c>
      <c r="I453" s="39">
        <v>800000</v>
      </c>
      <c r="J453" s="40">
        <v>0.69</v>
      </c>
      <c r="K453" s="37" t="s">
        <v>455</v>
      </c>
      <c r="L453" s="37" t="s">
        <v>4517</v>
      </c>
      <c r="M453" s="37" t="s">
        <v>5532</v>
      </c>
      <c r="N453" s="37" t="s">
        <v>517</v>
      </c>
    </row>
    <row r="454" spans="1:14" ht="20.100000000000001" customHeight="1" x14ac:dyDescent="0.25">
      <c r="A454" s="36" t="s">
        <v>5529</v>
      </c>
      <c r="B454" s="37" t="s">
        <v>105</v>
      </c>
      <c r="C454" s="36">
        <v>8402305</v>
      </c>
      <c r="D454" s="37" t="s">
        <v>452</v>
      </c>
      <c r="E454" s="36" t="s">
        <v>5535</v>
      </c>
      <c r="F454" s="21" t="str">
        <f>HYPERLINK("https://psearch.kitsapgov.com/webappa/index.html?parcelID=2559060&amp;Theme=Imagery","2559060")</f>
        <v>2559060</v>
      </c>
      <c r="G454" s="37" t="s">
        <v>5531</v>
      </c>
      <c r="H454" s="38">
        <v>44729</v>
      </c>
      <c r="I454" s="39">
        <v>800000</v>
      </c>
      <c r="J454" s="40">
        <v>0.83</v>
      </c>
      <c r="K454" s="37" t="s">
        <v>455</v>
      </c>
      <c r="L454" s="37" t="s">
        <v>4517</v>
      </c>
      <c r="M454" s="37" t="s">
        <v>5532</v>
      </c>
      <c r="N454" s="37" t="s">
        <v>517</v>
      </c>
    </row>
    <row r="455" spans="1:14" ht="20.100000000000001" customHeight="1" x14ac:dyDescent="0.25">
      <c r="A455" s="36" t="s">
        <v>5529</v>
      </c>
      <c r="B455" s="37" t="s">
        <v>105</v>
      </c>
      <c r="C455" s="36">
        <v>8402305</v>
      </c>
      <c r="D455" s="37" t="s">
        <v>452</v>
      </c>
      <c r="E455" s="36" t="s">
        <v>5536</v>
      </c>
      <c r="F455" s="21" t="str">
        <f>HYPERLINK("https://psearch.kitsapgov.com/webappa/index.html?parcelID=2559078&amp;Theme=Imagery","2559078")</f>
        <v>2559078</v>
      </c>
      <c r="G455" s="37" t="s">
        <v>5531</v>
      </c>
      <c r="H455" s="38">
        <v>44729</v>
      </c>
      <c r="I455" s="39">
        <v>800000</v>
      </c>
      <c r="J455" s="40">
        <v>2.21</v>
      </c>
      <c r="K455" s="37" t="s">
        <v>455</v>
      </c>
      <c r="L455" s="37" t="s">
        <v>4517</v>
      </c>
      <c r="M455" s="37" t="s">
        <v>5532</v>
      </c>
      <c r="N455" s="37" t="s">
        <v>517</v>
      </c>
    </row>
    <row r="456" spans="1:14" ht="20.100000000000001" customHeight="1" x14ac:dyDescent="0.25">
      <c r="A456" s="36" t="s">
        <v>5529</v>
      </c>
      <c r="B456" s="37" t="s">
        <v>5002</v>
      </c>
      <c r="C456" s="36">
        <v>8402305</v>
      </c>
      <c r="D456" s="37" t="s">
        <v>452</v>
      </c>
      <c r="E456" s="36" t="s">
        <v>5537</v>
      </c>
      <c r="F456" s="21" t="str">
        <f>HYPERLINK("https://psearch.kitsapgov.com/webappa/index.html?parcelID=2559086&amp;Theme=Imagery","2559086")</f>
        <v>2559086</v>
      </c>
      <c r="G456" s="37" t="s">
        <v>5538</v>
      </c>
      <c r="H456" s="38">
        <v>44729</v>
      </c>
      <c r="I456" s="39">
        <v>800000</v>
      </c>
      <c r="J456" s="40">
        <v>0.8</v>
      </c>
      <c r="K456" s="37" t="s">
        <v>455</v>
      </c>
      <c r="L456" s="37" t="s">
        <v>4517</v>
      </c>
      <c r="M456" s="37" t="s">
        <v>5532</v>
      </c>
      <c r="N456" s="37" t="s">
        <v>517</v>
      </c>
    </row>
    <row r="457" spans="1:14" ht="39.950000000000003" customHeight="1" x14ac:dyDescent="0.25">
      <c r="A457" s="36" t="s">
        <v>5539</v>
      </c>
      <c r="B457" s="37" t="s">
        <v>459</v>
      </c>
      <c r="C457" s="36">
        <v>8401102</v>
      </c>
      <c r="D457" s="37" t="s">
        <v>17</v>
      </c>
      <c r="E457" s="36" t="s">
        <v>5540</v>
      </c>
      <c r="F457" s="21" t="str">
        <f>HYPERLINK("https://psearch.kitsapgov.com/webappa/index.html?parcelID=1659002&amp;Theme=Imagery","1659002")</f>
        <v>1659002</v>
      </c>
      <c r="G457" s="37" t="s">
        <v>5541</v>
      </c>
      <c r="H457" s="38">
        <v>44736</v>
      </c>
      <c r="I457" s="39">
        <v>2100000</v>
      </c>
      <c r="J457" s="40">
        <v>0.17</v>
      </c>
      <c r="K457" s="37" t="s">
        <v>679</v>
      </c>
      <c r="L457" s="37" t="s">
        <v>4517</v>
      </c>
      <c r="M457" s="37" t="s">
        <v>5542</v>
      </c>
      <c r="N457" s="37" t="s">
        <v>5543</v>
      </c>
    </row>
    <row r="458" spans="1:14" ht="20.100000000000001" customHeight="1" x14ac:dyDescent="0.25">
      <c r="A458" s="36" t="s">
        <v>5539</v>
      </c>
      <c r="B458" s="37" t="s">
        <v>3201</v>
      </c>
      <c r="C458" s="36">
        <v>8401102</v>
      </c>
      <c r="D458" s="37" t="s">
        <v>17</v>
      </c>
      <c r="E458" s="36" t="s">
        <v>5544</v>
      </c>
      <c r="F458" s="21" t="str">
        <f>HYPERLINK("https://psearch.kitsapgov.com/webappa/index.html?parcelID=2438299&amp;Theme=Imagery","2438299")</f>
        <v>2438299</v>
      </c>
      <c r="G458" s="37" t="s">
        <v>5545</v>
      </c>
      <c r="H458" s="38">
        <v>44736</v>
      </c>
      <c r="I458" s="39">
        <v>2100000</v>
      </c>
      <c r="J458" s="40">
        <v>0.23</v>
      </c>
      <c r="K458" s="37" t="s">
        <v>679</v>
      </c>
      <c r="L458" s="37" t="s">
        <v>4517</v>
      </c>
      <c r="M458" s="37" t="s">
        <v>1807</v>
      </c>
      <c r="N458" s="37" t="s">
        <v>2546</v>
      </c>
    </row>
    <row r="459" spans="1:14" ht="39.950000000000003" customHeight="1" x14ac:dyDescent="0.25">
      <c r="A459" s="36" t="s">
        <v>5546</v>
      </c>
      <c r="B459" s="37" t="s">
        <v>1026</v>
      </c>
      <c r="C459" s="36">
        <v>8401104</v>
      </c>
      <c r="D459" s="37" t="s">
        <v>241</v>
      </c>
      <c r="E459" s="36" t="s">
        <v>5547</v>
      </c>
      <c r="F459" s="21" t="str">
        <f>HYPERLINK("https://psearch.kitsapgov.com/webappa/index.html?parcelID=2637825&amp;Theme=Imagery","2637825")</f>
        <v>2637825</v>
      </c>
      <c r="G459" s="37" t="s">
        <v>5548</v>
      </c>
      <c r="H459" s="38">
        <v>44743</v>
      </c>
      <c r="I459" s="39">
        <v>1587750</v>
      </c>
      <c r="J459" s="40">
        <v>80.5</v>
      </c>
      <c r="K459" s="37" t="s">
        <v>492</v>
      </c>
      <c r="L459" s="37" t="s">
        <v>4517</v>
      </c>
      <c r="M459" s="37" t="s">
        <v>5549</v>
      </c>
      <c r="N459" s="37" t="s">
        <v>5550</v>
      </c>
    </row>
    <row r="460" spans="1:14" ht="20.100000000000001" customHeight="1" x14ac:dyDescent="0.25">
      <c r="A460" s="36" t="s">
        <v>5546</v>
      </c>
      <c r="B460" s="37" t="s">
        <v>105</v>
      </c>
      <c r="C460" s="36">
        <v>8401104</v>
      </c>
      <c r="D460" s="37" t="s">
        <v>241</v>
      </c>
      <c r="E460" s="36" t="s">
        <v>5551</v>
      </c>
      <c r="F460" s="21" t="str">
        <f>HYPERLINK("https://psearch.kitsapgov.com/webappa/index.html?parcelID=1244235&amp;Theme=Imagery","1244235")</f>
        <v>1244235</v>
      </c>
      <c r="G460" s="37" t="s">
        <v>5552</v>
      </c>
      <c r="H460" s="38">
        <v>44743</v>
      </c>
      <c r="I460" s="39">
        <v>1587750</v>
      </c>
      <c r="J460" s="40">
        <v>9.5</v>
      </c>
      <c r="K460" s="37" t="s">
        <v>492</v>
      </c>
      <c r="L460" s="37" t="s">
        <v>4517</v>
      </c>
      <c r="M460" s="37" t="s">
        <v>5549</v>
      </c>
      <c r="N460" s="37" t="s">
        <v>5550</v>
      </c>
    </row>
    <row r="461" spans="1:14" ht="20.100000000000001" customHeight="1" x14ac:dyDescent="0.25">
      <c r="A461" s="36" t="s">
        <v>5546</v>
      </c>
      <c r="B461" s="37" t="s">
        <v>105</v>
      </c>
      <c r="C461" s="36">
        <v>8401104</v>
      </c>
      <c r="D461" s="37" t="s">
        <v>241</v>
      </c>
      <c r="E461" s="36" t="s">
        <v>5553</v>
      </c>
      <c r="F461" s="21" t="str">
        <f>HYPERLINK("https://psearch.kitsapgov.com/webappa/index.html?parcelID=1244250&amp;Theme=Imagery","1244250")</f>
        <v>1244250</v>
      </c>
      <c r="G461" s="37" t="s">
        <v>5552</v>
      </c>
      <c r="H461" s="38">
        <v>44743</v>
      </c>
      <c r="I461" s="39">
        <v>1587750</v>
      </c>
      <c r="J461" s="40">
        <v>19.28</v>
      </c>
      <c r="K461" s="37" t="s">
        <v>492</v>
      </c>
      <c r="L461" s="37" t="s">
        <v>4517</v>
      </c>
      <c r="M461" s="37" t="s">
        <v>5549</v>
      </c>
      <c r="N461" s="37" t="s">
        <v>5550</v>
      </c>
    </row>
    <row r="462" spans="1:14" ht="39.950000000000003" customHeight="1" x14ac:dyDescent="0.25">
      <c r="A462" s="36" t="s">
        <v>5554</v>
      </c>
      <c r="B462" s="37" t="s">
        <v>105</v>
      </c>
      <c r="C462" s="36">
        <v>8401508</v>
      </c>
      <c r="D462" s="37" t="s">
        <v>1341</v>
      </c>
      <c r="E462" s="36" t="s">
        <v>5555</v>
      </c>
      <c r="F462" s="21" t="str">
        <f>HYPERLINK("https://psearch.kitsapgov.com/webappa/index.html?parcelID=2385755&amp;Theme=Imagery","2385755")</f>
        <v>2385755</v>
      </c>
      <c r="G462" s="37" t="s">
        <v>5556</v>
      </c>
      <c r="H462" s="38">
        <v>44764</v>
      </c>
      <c r="I462" s="39">
        <v>1000000</v>
      </c>
      <c r="J462" s="40">
        <v>1.77</v>
      </c>
      <c r="K462" s="37" t="s">
        <v>37</v>
      </c>
      <c r="L462" s="37" t="s">
        <v>4517</v>
      </c>
      <c r="M462" s="37" t="s">
        <v>5557</v>
      </c>
      <c r="N462" s="37" t="s">
        <v>5558</v>
      </c>
    </row>
    <row r="463" spans="1:14" ht="20.100000000000001" customHeight="1" x14ac:dyDescent="0.25">
      <c r="A463" s="36" t="s">
        <v>5554</v>
      </c>
      <c r="B463" s="37" t="s">
        <v>105</v>
      </c>
      <c r="C463" s="36">
        <v>8401508</v>
      </c>
      <c r="D463" s="37" t="s">
        <v>1341</v>
      </c>
      <c r="E463" s="36" t="s">
        <v>5559</v>
      </c>
      <c r="F463" s="21" t="str">
        <f>HYPERLINK("https://psearch.kitsapgov.com/webappa/index.html?parcelID=2385763&amp;Theme=Imagery","2385763")</f>
        <v>2385763</v>
      </c>
      <c r="G463" s="37" t="s">
        <v>5556</v>
      </c>
      <c r="H463" s="38">
        <v>44764</v>
      </c>
      <c r="I463" s="39">
        <v>1000000</v>
      </c>
      <c r="J463" s="40">
        <v>1.03</v>
      </c>
      <c r="K463" s="37" t="s">
        <v>37</v>
      </c>
      <c r="L463" s="37" t="s">
        <v>4517</v>
      </c>
      <c r="M463" s="37" t="s">
        <v>5557</v>
      </c>
      <c r="N463" s="37" t="s">
        <v>5558</v>
      </c>
    </row>
    <row r="464" spans="1:14" ht="39.950000000000003" customHeight="1" x14ac:dyDescent="0.25">
      <c r="A464" s="36" t="s">
        <v>5560</v>
      </c>
      <c r="B464" s="37" t="s">
        <v>403</v>
      </c>
      <c r="C464" s="36">
        <v>8303601</v>
      </c>
      <c r="D464" s="37" t="s">
        <v>25</v>
      </c>
      <c r="E464" s="36" t="s">
        <v>5561</v>
      </c>
      <c r="F464" s="21" t="str">
        <f>HYPERLINK("https://psearch.kitsapgov.com/webappa/index.html?parcelID=2639193&amp;Theme=Imagery","2639193")</f>
        <v>2639193</v>
      </c>
      <c r="G464" s="37" t="s">
        <v>5562</v>
      </c>
      <c r="H464" s="38">
        <v>44762</v>
      </c>
      <c r="I464" s="39">
        <v>4900000</v>
      </c>
      <c r="J464" s="40">
        <v>0.05</v>
      </c>
      <c r="K464" s="37" t="s">
        <v>265</v>
      </c>
      <c r="L464" s="37" t="s">
        <v>4517</v>
      </c>
      <c r="M464" s="37" t="s">
        <v>5563</v>
      </c>
      <c r="N464" s="37" t="s">
        <v>5564</v>
      </c>
    </row>
    <row r="465" spans="1:14" ht="20.100000000000001" customHeight="1" x14ac:dyDescent="0.25">
      <c r="A465" s="36" t="s">
        <v>5560</v>
      </c>
      <c r="B465" s="37" t="s">
        <v>403</v>
      </c>
      <c r="C465" s="36">
        <v>8303601</v>
      </c>
      <c r="D465" s="37" t="s">
        <v>25</v>
      </c>
      <c r="E465" s="36" t="s">
        <v>5565</v>
      </c>
      <c r="F465" s="21" t="str">
        <f>HYPERLINK("https://psearch.kitsapgov.com/webappa/index.html?parcelID=2639201&amp;Theme=Imagery","2639201")</f>
        <v>2639201</v>
      </c>
      <c r="G465" s="37" t="s">
        <v>5566</v>
      </c>
      <c r="H465" s="38">
        <v>44762</v>
      </c>
      <c r="I465" s="39">
        <v>4900000</v>
      </c>
      <c r="J465" s="40">
        <v>0.05</v>
      </c>
      <c r="K465" s="37" t="s">
        <v>265</v>
      </c>
      <c r="L465" s="37" t="s">
        <v>38</v>
      </c>
      <c r="M465" s="37" t="s">
        <v>5563</v>
      </c>
      <c r="N465" s="37" t="s">
        <v>5564</v>
      </c>
    </row>
    <row r="466" spans="1:14" ht="20.100000000000001" customHeight="1" x14ac:dyDescent="0.25">
      <c r="A466" s="36" t="s">
        <v>5560</v>
      </c>
      <c r="B466" s="37" t="s">
        <v>403</v>
      </c>
      <c r="C466" s="36">
        <v>8303601</v>
      </c>
      <c r="D466" s="37" t="s">
        <v>25</v>
      </c>
      <c r="E466" s="36" t="s">
        <v>5567</v>
      </c>
      <c r="F466" s="21" t="str">
        <f>HYPERLINK("https://psearch.kitsapgov.com/webappa/index.html?parcelID=2639219&amp;Theme=Imagery","2639219")</f>
        <v>2639219</v>
      </c>
      <c r="G466" s="37" t="s">
        <v>5568</v>
      </c>
      <c r="H466" s="38">
        <v>44762</v>
      </c>
      <c r="I466" s="39">
        <v>4900000</v>
      </c>
      <c r="J466" s="40">
        <v>0.05</v>
      </c>
      <c r="K466" s="37" t="s">
        <v>265</v>
      </c>
      <c r="L466" s="37" t="s">
        <v>4517</v>
      </c>
      <c r="M466" s="37" t="s">
        <v>5563</v>
      </c>
      <c r="N466" s="37" t="s">
        <v>5564</v>
      </c>
    </row>
    <row r="467" spans="1:14" ht="20.100000000000001" customHeight="1" x14ac:dyDescent="0.25">
      <c r="A467" s="36" t="s">
        <v>5560</v>
      </c>
      <c r="B467" s="37" t="s">
        <v>403</v>
      </c>
      <c r="C467" s="36">
        <v>8303601</v>
      </c>
      <c r="D467" s="37" t="s">
        <v>25</v>
      </c>
      <c r="E467" s="36" t="s">
        <v>5569</v>
      </c>
      <c r="F467" s="21" t="str">
        <f>HYPERLINK("https://psearch.kitsapgov.com/webappa/index.html?parcelID=2639227&amp;Theme=Imagery","2639227")</f>
        <v>2639227</v>
      </c>
      <c r="G467" s="37" t="s">
        <v>5570</v>
      </c>
      <c r="H467" s="38">
        <v>44762</v>
      </c>
      <c r="I467" s="39">
        <v>4900000</v>
      </c>
      <c r="J467" s="40">
        <v>0.05</v>
      </c>
      <c r="K467" s="37" t="s">
        <v>265</v>
      </c>
      <c r="L467" s="37" t="s">
        <v>4517</v>
      </c>
      <c r="M467" s="37" t="s">
        <v>5563</v>
      </c>
      <c r="N467" s="37" t="s">
        <v>5564</v>
      </c>
    </row>
    <row r="468" spans="1:14" ht="39.950000000000003" customHeight="1" x14ac:dyDescent="0.25">
      <c r="A468" s="36" t="s">
        <v>5571</v>
      </c>
      <c r="B468" s="37" t="s">
        <v>78</v>
      </c>
      <c r="C468" s="36">
        <v>7303604</v>
      </c>
      <c r="D468" s="37" t="s">
        <v>4763</v>
      </c>
      <c r="E468" s="36" t="s">
        <v>5572</v>
      </c>
      <c r="F468" s="21" t="str">
        <f>HYPERLINK("https://psearch.kitsapgov.com/webappa/index.html?parcelID=2637296&amp;Theme=Imagery","2637296")</f>
        <v>2637296</v>
      </c>
      <c r="G468" s="37" t="s">
        <v>3019</v>
      </c>
      <c r="H468" s="38">
        <v>44781</v>
      </c>
      <c r="I468" s="39">
        <v>65500000</v>
      </c>
      <c r="J468" s="40">
        <v>0.02</v>
      </c>
      <c r="K468" s="37" t="s">
        <v>5573</v>
      </c>
      <c r="L468" s="37" t="s">
        <v>38</v>
      </c>
      <c r="M468" s="37" t="s">
        <v>5574</v>
      </c>
      <c r="N468" s="37" t="s">
        <v>5575</v>
      </c>
    </row>
    <row r="469" spans="1:14" ht="20.100000000000001" customHeight="1" x14ac:dyDescent="0.25">
      <c r="A469" s="36" t="s">
        <v>5571</v>
      </c>
      <c r="B469" s="37" t="s">
        <v>78</v>
      </c>
      <c r="C469" s="36">
        <v>7303604</v>
      </c>
      <c r="D469" s="37" t="s">
        <v>4763</v>
      </c>
      <c r="E469" s="36" t="s">
        <v>5576</v>
      </c>
      <c r="F469" s="21" t="str">
        <f>HYPERLINK("https://psearch.kitsapgov.com/webappa/index.html?parcelID=2637304&amp;Theme=Imagery","2637304")</f>
        <v>2637304</v>
      </c>
      <c r="G469" s="37" t="s">
        <v>3019</v>
      </c>
      <c r="H469" s="38">
        <v>44781</v>
      </c>
      <c r="I469" s="39">
        <v>65500000</v>
      </c>
      <c r="J469" s="40">
        <v>0.02</v>
      </c>
      <c r="K469" s="37" t="s">
        <v>5573</v>
      </c>
      <c r="L469" s="37" t="s">
        <v>38</v>
      </c>
      <c r="M469" s="37" t="s">
        <v>5574</v>
      </c>
      <c r="N469" s="37" t="s">
        <v>5575</v>
      </c>
    </row>
    <row r="470" spans="1:14" ht="20.100000000000001" customHeight="1" x14ac:dyDescent="0.25">
      <c r="A470" s="36" t="s">
        <v>5571</v>
      </c>
      <c r="B470" s="37" t="s">
        <v>78</v>
      </c>
      <c r="C470" s="36">
        <v>7303604</v>
      </c>
      <c r="D470" s="37" t="s">
        <v>4763</v>
      </c>
      <c r="E470" s="36" t="s">
        <v>5577</v>
      </c>
      <c r="F470" s="21" t="str">
        <f>HYPERLINK("https://psearch.kitsapgov.com/webappa/index.html?parcelID=2637312&amp;Theme=Imagery","2637312")</f>
        <v>2637312</v>
      </c>
      <c r="G470" s="37" t="s">
        <v>3019</v>
      </c>
      <c r="H470" s="38">
        <v>44781</v>
      </c>
      <c r="I470" s="39">
        <v>65500000</v>
      </c>
      <c r="J470" s="40">
        <v>0.02</v>
      </c>
      <c r="K470" s="37" t="s">
        <v>5573</v>
      </c>
      <c r="L470" s="37" t="s">
        <v>38</v>
      </c>
      <c r="M470" s="37" t="s">
        <v>5574</v>
      </c>
      <c r="N470" s="37" t="s">
        <v>5575</v>
      </c>
    </row>
    <row r="471" spans="1:14" ht="20.100000000000001" customHeight="1" x14ac:dyDescent="0.25">
      <c r="A471" s="36" t="s">
        <v>5571</v>
      </c>
      <c r="B471" s="37" t="s">
        <v>78</v>
      </c>
      <c r="C471" s="36">
        <v>7303604</v>
      </c>
      <c r="D471" s="37" t="s">
        <v>4763</v>
      </c>
      <c r="E471" s="36" t="s">
        <v>5578</v>
      </c>
      <c r="F471" s="21" t="str">
        <f>HYPERLINK("https://psearch.kitsapgov.com/webappa/index.html?parcelID=2637320&amp;Theme=Imagery","2637320")</f>
        <v>2637320</v>
      </c>
      <c r="G471" s="37" t="s">
        <v>3019</v>
      </c>
      <c r="H471" s="38">
        <v>44781</v>
      </c>
      <c r="I471" s="39">
        <v>65500000</v>
      </c>
      <c r="J471" s="40">
        <v>0.02</v>
      </c>
      <c r="K471" s="37" t="s">
        <v>5573</v>
      </c>
      <c r="L471" s="37" t="s">
        <v>38</v>
      </c>
      <c r="M471" s="37" t="s">
        <v>5574</v>
      </c>
      <c r="N471" s="37" t="s">
        <v>5575</v>
      </c>
    </row>
    <row r="472" spans="1:14" ht="20.100000000000001" customHeight="1" x14ac:dyDescent="0.25">
      <c r="A472" s="36" t="s">
        <v>5571</v>
      </c>
      <c r="B472" s="37" t="s">
        <v>78</v>
      </c>
      <c r="C472" s="36">
        <v>7303604</v>
      </c>
      <c r="D472" s="37" t="s">
        <v>4763</v>
      </c>
      <c r="E472" s="36" t="s">
        <v>5579</v>
      </c>
      <c r="F472" s="21" t="str">
        <f>HYPERLINK("https://psearch.kitsapgov.com/webappa/index.html?parcelID=2637338&amp;Theme=Imagery","2637338")</f>
        <v>2637338</v>
      </c>
      <c r="G472" s="37" t="s">
        <v>3019</v>
      </c>
      <c r="H472" s="38">
        <v>44781</v>
      </c>
      <c r="I472" s="39">
        <v>65500000</v>
      </c>
      <c r="J472" s="40">
        <v>0.02</v>
      </c>
      <c r="L472" s="37" t="s">
        <v>38</v>
      </c>
      <c r="M472" s="37" t="s">
        <v>5574</v>
      </c>
      <c r="N472" s="37" t="s">
        <v>5575</v>
      </c>
    </row>
    <row r="473" spans="1:14" ht="20.100000000000001" customHeight="1" x14ac:dyDescent="0.25">
      <c r="A473" s="36" t="s">
        <v>5571</v>
      </c>
      <c r="B473" s="37" t="s">
        <v>78</v>
      </c>
      <c r="C473" s="36">
        <v>7303604</v>
      </c>
      <c r="D473" s="37" t="s">
        <v>4763</v>
      </c>
      <c r="E473" s="36" t="s">
        <v>5580</v>
      </c>
      <c r="F473" s="21" t="str">
        <f>HYPERLINK("https://psearch.kitsapgov.com/webappa/index.html?parcelID=2637346&amp;Theme=Imagery","2637346")</f>
        <v>2637346</v>
      </c>
      <c r="G473" s="37" t="s">
        <v>3019</v>
      </c>
      <c r="H473" s="38">
        <v>44781</v>
      </c>
      <c r="I473" s="39">
        <v>65500000</v>
      </c>
      <c r="J473" s="40">
        <v>0.02</v>
      </c>
      <c r="K473" s="37" t="s">
        <v>5573</v>
      </c>
      <c r="L473" s="37" t="s">
        <v>38</v>
      </c>
      <c r="M473" s="37" t="s">
        <v>5574</v>
      </c>
      <c r="N473" s="37" t="s">
        <v>5575</v>
      </c>
    </row>
    <row r="474" spans="1:14" ht="20.100000000000001" customHeight="1" x14ac:dyDescent="0.25">
      <c r="A474" s="36" t="s">
        <v>5571</v>
      </c>
      <c r="B474" s="37" t="s">
        <v>78</v>
      </c>
      <c r="C474" s="36">
        <v>7303604</v>
      </c>
      <c r="D474" s="37" t="s">
        <v>4763</v>
      </c>
      <c r="E474" s="36" t="s">
        <v>5581</v>
      </c>
      <c r="F474" s="21" t="str">
        <f>HYPERLINK("https://psearch.kitsapgov.com/webappa/index.html?parcelID=2637353&amp;Theme=Imagery","2637353")</f>
        <v>2637353</v>
      </c>
      <c r="G474" s="37" t="s">
        <v>3019</v>
      </c>
      <c r="H474" s="38">
        <v>44781</v>
      </c>
      <c r="I474" s="39">
        <v>65500000</v>
      </c>
      <c r="J474" s="40">
        <v>0.02</v>
      </c>
      <c r="K474" s="37" t="s">
        <v>5573</v>
      </c>
      <c r="L474" s="37" t="s">
        <v>38</v>
      </c>
      <c r="M474" s="37" t="s">
        <v>5574</v>
      </c>
      <c r="N474" s="37" t="s">
        <v>5575</v>
      </c>
    </row>
    <row r="475" spans="1:14" ht="20.100000000000001" customHeight="1" x14ac:dyDescent="0.25">
      <c r="A475" s="36" t="s">
        <v>5571</v>
      </c>
      <c r="B475" s="37" t="s">
        <v>48</v>
      </c>
      <c r="C475" s="36">
        <v>8303601</v>
      </c>
      <c r="D475" s="37" t="s">
        <v>25</v>
      </c>
      <c r="E475" s="36" t="s">
        <v>5582</v>
      </c>
      <c r="F475" s="21" t="str">
        <f>HYPERLINK("https://psearch.kitsapgov.com/webappa/index.html?parcelID=2637361&amp;Theme=Imagery","2637361")</f>
        <v>2637361</v>
      </c>
      <c r="G475" s="37" t="s">
        <v>5583</v>
      </c>
      <c r="H475" s="38">
        <v>44781</v>
      </c>
      <c r="I475" s="39">
        <v>65500000</v>
      </c>
      <c r="J475" s="40">
        <v>1.4</v>
      </c>
      <c r="K475" s="37" t="s">
        <v>5573</v>
      </c>
      <c r="L475" s="37" t="s">
        <v>38</v>
      </c>
      <c r="M475" s="37" t="s">
        <v>5574</v>
      </c>
      <c r="N475" s="37" t="s">
        <v>5575</v>
      </c>
    </row>
    <row r="476" spans="1:14" ht="39.950000000000003" customHeight="1" x14ac:dyDescent="0.25">
      <c r="A476" s="36" t="s">
        <v>5584</v>
      </c>
      <c r="B476" s="37" t="s">
        <v>42</v>
      </c>
      <c r="C476" s="36">
        <v>8100505</v>
      </c>
      <c r="D476" s="37" t="s">
        <v>670</v>
      </c>
      <c r="E476" s="36" t="s">
        <v>5585</v>
      </c>
      <c r="F476" s="21" t="str">
        <f>HYPERLINK("https://psearch.kitsapgov.com/webappa/index.html?parcelID=1489897&amp;Theme=Imagery","1489897")</f>
        <v>1489897</v>
      </c>
      <c r="G476" s="37" t="s">
        <v>5586</v>
      </c>
      <c r="H476" s="38">
        <v>44776</v>
      </c>
      <c r="I476" s="39">
        <v>800000</v>
      </c>
      <c r="J476" s="40">
        <v>0.71</v>
      </c>
      <c r="K476" s="37" t="s">
        <v>673</v>
      </c>
      <c r="L476" s="37" t="s">
        <v>4552</v>
      </c>
      <c r="M476" s="37" t="s">
        <v>5587</v>
      </c>
      <c r="N476" s="37" t="s">
        <v>5558</v>
      </c>
    </row>
    <row r="477" spans="1:14" ht="20.100000000000001" customHeight="1" x14ac:dyDescent="0.25">
      <c r="A477" s="36" t="s">
        <v>5584</v>
      </c>
      <c r="B477" s="37" t="s">
        <v>105</v>
      </c>
      <c r="C477" s="36">
        <v>8100505</v>
      </c>
      <c r="D477" s="37" t="s">
        <v>670</v>
      </c>
      <c r="E477" s="36" t="s">
        <v>5588</v>
      </c>
      <c r="F477" s="21" t="str">
        <f>HYPERLINK("https://psearch.kitsapgov.com/webappa/index.html?parcelID=1964899&amp;Theme=Imagery","1964899")</f>
        <v>1964899</v>
      </c>
      <c r="G477" s="37" t="s">
        <v>5589</v>
      </c>
      <c r="H477" s="38">
        <v>44776</v>
      </c>
      <c r="I477" s="39">
        <v>800000</v>
      </c>
      <c r="J477" s="40">
        <v>0.08</v>
      </c>
      <c r="K477" s="37" t="s">
        <v>673</v>
      </c>
      <c r="L477" s="37" t="s">
        <v>4552</v>
      </c>
      <c r="M477" s="37" t="s">
        <v>5587</v>
      </c>
      <c r="N477" s="37" t="s">
        <v>5558</v>
      </c>
    </row>
    <row r="478" spans="1:14" ht="20.100000000000001" customHeight="1" x14ac:dyDescent="0.25">
      <c r="A478" s="36" t="s">
        <v>5584</v>
      </c>
      <c r="B478" s="37" t="s">
        <v>105</v>
      </c>
      <c r="C478" s="36">
        <v>8100505</v>
      </c>
      <c r="D478" s="37" t="s">
        <v>670</v>
      </c>
      <c r="E478" s="36" t="s">
        <v>5590</v>
      </c>
      <c r="F478" s="21" t="str">
        <f>HYPERLINK("https://psearch.kitsapgov.com/webappa/index.html?parcelID=2528024&amp;Theme=Imagery","2528024")</f>
        <v>2528024</v>
      </c>
      <c r="G478" s="37" t="s">
        <v>5591</v>
      </c>
      <c r="H478" s="38">
        <v>44776</v>
      </c>
      <c r="I478" s="39">
        <v>800000</v>
      </c>
      <c r="J478" s="40">
        <v>0.08</v>
      </c>
      <c r="K478" s="37" t="s">
        <v>673</v>
      </c>
      <c r="L478" s="37" t="s">
        <v>4552</v>
      </c>
      <c r="M478" s="37" t="s">
        <v>5587</v>
      </c>
      <c r="N478" s="37" t="s">
        <v>5558</v>
      </c>
    </row>
    <row r="479" spans="1:14" ht="39.950000000000003" customHeight="1" x14ac:dyDescent="0.25">
      <c r="A479" s="36" t="s">
        <v>5592</v>
      </c>
      <c r="B479" s="37" t="s">
        <v>901</v>
      </c>
      <c r="C479" s="36">
        <v>7400204</v>
      </c>
      <c r="D479" s="37" t="s">
        <v>5593</v>
      </c>
      <c r="E479" s="36" t="s">
        <v>5594</v>
      </c>
      <c r="F479" s="21" t="str">
        <f>HYPERLINK("https://psearch.kitsapgov.com/webappa/index.html?parcelID=2114247&amp;Theme=Imagery","2114247")</f>
        <v>2114247</v>
      </c>
      <c r="G479" s="37" t="s">
        <v>3019</v>
      </c>
      <c r="H479" s="38">
        <v>44791</v>
      </c>
      <c r="I479" s="39">
        <v>188816</v>
      </c>
      <c r="J479" s="40">
        <v>0.06</v>
      </c>
      <c r="K479" s="37" t="s">
        <v>205</v>
      </c>
      <c r="L479" s="37" t="s">
        <v>631</v>
      </c>
      <c r="M479" s="37" t="s">
        <v>5595</v>
      </c>
      <c r="N479" s="37" t="s">
        <v>5596</v>
      </c>
    </row>
    <row r="480" spans="1:14" ht="20.100000000000001" customHeight="1" x14ac:dyDescent="0.25">
      <c r="A480" s="36" t="s">
        <v>5592</v>
      </c>
      <c r="B480" s="37" t="s">
        <v>901</v>
      </c>
      <c r="C480" s="36">
        <v>7401190</v>
      </c>
      <c r="D480" s="37" t="s">
        <v>5175</v>
      </c>
      <c r="E480" s="36" t="s">
        <v>5597</v>
      </c>
      <c r="F480" s="21" t="str">
        <f>HYPERLINK("https://psearch.kitsapgov.com/webappa/index.html?parcelID=1218940&amp;Theme=Imagery","1218940")</f>
        <v>1218940</v>
      </c>
      <c r="G480" s="37" t="s">
        <v>5598</v>
      </c>
      <c r="H480" s="38">
        <v>44791</v>
      </c>
      <c r="I480" s="39">
        <v>188816</v>
      </c>
      <c r="J480" s="40">
        <v>0.9</v>
      </c>
      <c r="K480" s="37" t="s">
        <v>176</v>
      </c>
      <c r="L480" s="37" t="s">
        <v>631</v>
      </c>
      <c r="M480" s="37" t="s">
        <v>5595</v>
      </c>
      <c r="N480" s="37" t="s">
        <v>5596</v>
      </c>
    </row>
    <row r="481" spans="1:14" ht="20.100000000000001" customHeight="1" x14ac:dyDescent="0.25">
      <c r="A481" s="36" t="s">
        <v>5592</v>
      </c>
      <c r="B481" s="37" t="s">
        <v>901</v>
      </c>
      <c r="C481" s="36">
        <v>9401127</v>
      </c>
      <c r="D481" s="37" t="s">
        <v>5170</v>
      </c>
      <c r="E481" s="36" t="s">
        <v>5599</v>
      </c>
      <c r="F481" s="21" t="str">
        <f>HYPERLINK("https://psearch.kitsapgov.com/webappa/index.html?parcelID=1980408&amp;Theme=Imagery","1980408")</f>
        <v>1980408</v>
      </c>
      <c r="G481" s="37" t="s">
        <v>5600</v>
      </c>
      <c r="H481" s="38">
        <v>44791</v>
      </c>
      <c r="I481" s="39">
        <v>188816</v>
      </c>
      <c r="J481" s="40">
        <v>0.22</v>
      </c>
      <c r="K481" s="37" t="s">
        <v>176</v>
      </c>
      <c r="L481" s="37" t="s">
        <v>631</v>
      </c>
      <c r="M481" s="37" t="s">
        <v>5595</v>
      </c>
      <c r="N481" s="37" t="s">
        <v>5596</v>
      </c>
    </row>
    <row r="482" spans="1:14" ht="20.100000000000001" customHeight="1" x14ac:dyDescent="0.25">
      <c r="A482" s="36" t="s">
        <v>5592</v>
      </c>
      <c r="B482" s="37" t="s">
        <v>901</v>
      </c>
      <c r="C482" s="36">
        <v>9401127</v>
      </c>
      <c r="D482" s="37" t="s">
        <v>5170</v>
      </c>
      <c r="E482" s="36" t="s">
        <v>5601</v>
      </c>
      <c r="F482" s="21" t="str">
        <f>HYPERLINK("https://psearch.kitsapgov.com/webappa/index.html?parcelID=1646314&amp;Theme=Imagery","1646314")</f>
        <v>1646314</v>
      </c>
      <c r="G482" s="37" t="s">
        <v>5602</v>
      </c>
      <c r="H482" s="38">
        <v>44791</v>
      </c>
      <c r="I482" s="39">
        <v>188816</v>
      </c>
      <c r="J482" s="40">
        <v>0.05</v>
      </c>
      <c r="K482" s="37" t="s">
        <v>176</v>
      </c>
      <c r="L482" s="37" t="s">
        <v>631</v>
      </c>
      <c r="M482" s="37" t="s">
        <v>5595</v>
      </c>
      <c r="N482" s="37" t="s">
        <v>5596</v>
      </c>
    </row>
    <row r="483" spans="1:14" ht="20.100000000000001" customHeight="1" x14ac:dyDescent="0.25">
      <c r="A483" s="36" t="s">
        <v>5592</v>
      </c>
      <c r="B483" s="37" t="s">
        <v>105</v>
      </c>
      <c r="C483" s="36">
        <v>7401127</v>
      </c>
      <c r="D483" s="37" t="s">
        <v>5603</v>
      </c>
      <c r="E483" s="36" t="s">
        <v>5604</v>
      </c>
      <c r="F483" s="21" t="str">
        <f>HYPERLINK("https://psearch.kitsapgov.com/webappa/index.html?parcelID=1646322&amp;Theme=Imagery","1646322")</f>
        <v>1646322</v>
      </c>
      <c r="G483" s="37" t="s">
        <v>3019</v>
      </c>
      <c r="H483" s="38">
        <v>44791</v>
      </c>
      <c r="I483" s="39">
        <v>188816</v>
      </c>
      <c r="J483" s="40">
        <v>0.05</v>
      </c>
      <c r="K483" s="37" t="s">
        <v>176</v>
      </c>
      <c r="L483" s="37" t="s">
        <v>631</v>
      </c>
      <c r="M483" s="37" t="s">
        <v>5595</v>
      </c>
      <c r="N483" s="37" t="s">
        <v>5596</v>
      </c>
    </row>
    <row r="484" spans="1:14" ht="39.950000000000003" customHeight="1" x14ac:dyDescent="0.25">
      <c r="A484" s="36" t="s">
        <v>5605</v>
      </c>
      <c r="B484" s="37" t="s">
        <v>850</v>
      </c>
      <c r="C484" s="36">
        <v>7100541</v>
      </c>
      <c r="D484" s="37" t="s">
        <v>4507</v>
      </c>
      <c r="E484" s="36" t="s">
        <v>5606</v>
      </c>
      <c r="F484" s="21" t="str">
        <f>HYPERLINK("https://psearch.kitsapgov.com/webappa/index.html?parcelID=1979483&amp;Theme=Imagery","1979483")</f>
        <v>1979483</v>
      </c>
      <c r="G484" s="37" t="s">
        <v>5607</v>
      </c>
      <c r="H484" s="38">
        <v>44811</v>
      </c>
      <c r="I484" s="39">
        <v>850000</v>
      </c>
      <c r="J484" s="40">
        <v>7.0000000000000007E-2</v>
      </c>
      <c r="K484" s="37" t="s">
        <v>377</v>
      </c>
      <c r="L484" s="37" t="s">
        <v>4517</v>
      </c>
      <c r="M484" s="37" t="s">
        <v>5608</v>
      </c>
      <c r="N484" s="37" t="s">
        <v>5609</v>
      </c>
    </row>
    <row r="485" spans="1:14" ht="20.100000000000001" customHeight="1" x14ac:dyDescent="0.25">
      <c r="A485" s="36" t="s">
        <v>5605</v>
      </c>
      <c r="B485" s="37" t="s">
        <v>185</v>
      </c>
      <c r="C485" s="36">
        <v>9100541</v>
      </c>
      <c r="D485" s="37" t="s">
        <v>186</v>
      </c>
      <c r="E485" s="36" t="s">
        <v>5610</v>
      </c>
      <c r="F485" s="21" t="str">
        <f>HYPERLINK("https://psearch.kitsapgov.com/webappa/index.html?parcelID=1979491&amp;Theme=Imagery","1979491")</f>
        <v>1979491</v>
      </c>
      <c r="G485" s="37" t="s">
        <v>5611</v>
      </c>
      <c r="H485" s="38">
        <v>44811</v>
      </c>
      <c r="I485" s="39">
        <v>850000</v>
      </c>
      <c r="J485" s="40">
        <v>7.0000000000000007E-2</v>
      </c>
      <c r="K485" s="37" t="s">
        <v>377</v>
      </c>
      <c r="L485" s="37" t="s">
        <v>4517</v>
      </c>
      <c r="M485" s="37" t="s">
        <v>5608</v>
      </c>
      <c r="N485" s="37" t="s">
        <v>5609</v>
      </c>
    </row>
    <row r="486" spans="1:14" ht="39.950000000000003" customHeight="1" x14ac:dyDescent="0.25">
      <c r="A486" s="36" t="s">
        <v>5612</v>
      </c>
      <c r="B486" s="37" t="s">
        <v>172</v>
      </c>
      <c r="C486" s="36">
        <v>9303604</v>
      </c>
      <c r="D486" s="37" t="s">
        <v>5613</v>
      </c>
      <c r="E486" s="36" t="s">
        <v>5614</v>
      </c>
      <c r="F486" s="21" t="str">
        <f>HYPERLINK("https://psearch.kitsapgov.com/webappa/index.html?parcelID=2567444&amp;Theme=Imagery","2567444")</f>
        <v>2567444</v>
      </c>
      <c r="G486" s="37" t="s">
        <v>5615</v>
      </c>
      <c r="H486" s="38">
        <v>44816</v>
      </c>
      <c r="I486" s="39">
        <v>8166667</v>
      </c>
      <c r="J486" s="40">
        <v>0.15</v>
      </c>
      <c r="K486" s="37" t="s">
        <v>5616</v>
      </c>
      <c r="L486" s="37" t="s">
        <v>4517</v>
      </c>
      <c r="M486" s="37" t="s">
        <v>5617</v>
      </c>
      <c r="N486" s="37" t="s">
        <v>5618</v>
      </c>
    </row>
    <row r="487" spans="1:14" ht="20.100000000000001" customHeight="1" x14ac:dyDescent="0.25">
      <c r="A487" s="36" t="s">
        <v>5612</v>
      </c>
      <c r="B487" s="37" t="s">
        <v>172</v>
      </c>
      <c r="C487" s="36">
        <v>9303604</v>
      </c>
      <c r="D487" s="37" t="s">
        <v>5613</v>
      </c>
      <c r="E487" s="36" t="s">
        <v>5619</v>
      </c>
      <c r="F487" s="21" t="str">
        <f>HYPERLINK("https://psearch.kitsapgov.com/webappa/index.html?parcelID=2567451&amp;Theme=Imagery","2567451")</f>
        <v>2567451</v>
      </c>
      <c r="G487" s="37" t="s">
        <v>5620</v>
      </c>
      <c r="H487" s="38">
        <v>44816</v>
      </c>
      <c r="I487" s="39">
        <v>8166667</v>
      </c>
      <c r="J487" s="40">
        <v>0.14000000000000001</v>
      </c>
      <c r="K487" s="37" t="s">
        <v>5616</v>
      </c>
      <c r="L487" s="37" t="s">
        <v>4517</v>
      </c>
      <c r="M487" s="37" t="s">
        <v>5617</v>
      </c>
      <c r="N487" s="37" t="s">
        <v>5618</v>
      </c>
    </row>
    <row r="488" spans="1:14" ht="39.950000000000003" customHeight="1" x14ac:dyDescent="0.25">
      <c r="A488" s="36" t="s">
        <v>5621</v>
      </c>
      <c r="B488" s="37" t="s">
        <v>105</v>
      </c>
      <c r="C488" s="36">
        <v>8401508</v>
      </c>
      <c r="D488" s="37" t="s">
        <v>1341</v>
      </c>
      <c r="E488" s="36" t="s">
        <v>5622</v>
      </c>
      <c r="F488" s="21" t="str">
        <f>HYPERLINK("https://psearch.kitsapgov.com/webappa/index.html?parcelID=1279447&amp;Theme=Imagery","1279447")</f>
        <v>1279447</v>
      </c>
      <c r="G488" s="37" t="s">
        <v>5623</v>
      </c>
      <c r="H488" s="38">
        <v>44820</v>
      </c>
      <c r="I488" s="39">
        <v>1825000</v>
      </c>
      <c r="J488" s="40">
        <v>1.68</v>
      </c>
      <c r="K488" s="37" t="s">
        <v>37</v>
      </c>
      <c r="L488" s="37" t="s">
        <v>4517</v>
      </c>
      <c r="M488" s="37" t="s">
        <v>5624</v>
      </c>
      <c r="N488" s="37" t="s">
        <v>5625</v>
      </c>
    </row>
    <row r="489" spans="1:14" ht="20.100000000000001" customHeight="1" x14ac:dyDescent="0.25">
      <c r="A489" s="36" t="s">
        <v>5621</v>
      </c>
      <c r="B489" s="37" t="s">
        <v>105</v>
      </c>
      <c r="C489" s="36">
        <v>8401508</v>
      </c>
      <c r="D489" s="37" t="s">
        <v>1341</v>
      </c>
      <c r="E489" s="36" t="s">
        <v>5626</v>
      </c>
      <c r="F489" s="21" t="str">
        <f>HYPERLINK("https://psearch.kitsapgov.com/webappa/index.html?parcelID=2240000&amp;Theme=Imagery","2240000")</f>
        <v>2240000</v>
      </c>
      <c r="G489" s="37" t="s">
        <v>5627</v>
      </c>
      <c r="H489" s="38">
        <v>44820</v>
      </c>
      <c r="I489" s="39">
        <v>1825000</v>
      </c>
      <c r="J489" s="40">
        <v>0.76</v>
      </c>
      <c r="K489" s="37" t="s">
        <v>37</v>
      </c>
      <c r="L489" s="37" t="s">
        <v>4517</v>
      </c>
      <c r="M489" s="37" t="s">
        <v>5624</v>
      </c>
      <c r="N489" s="37" t="s">
        <v>5625</v>
      </c>
    </row>
    <row r="490" spans="1:14" ht="39.950000000000003" customHeight="1" x14ac:dyDescent="0.25">
      <c r="A490" s="36" t="s">
        <v>5628</v>
      </c>
      <c r="B490" s="37" t="s">
        <v>185</v>
      </c>
      <c r="C490" s="36">
        <v>8401102</v>
      </c>
      <c r="D490" s="37" t="s">
        <v>17</v>
      </c>
      <c r="E490" s="36" t="s">
        <v>5360</v>
      </c>
      <c r="F490" s="21" t="str">
        <f>HYPERLINK("https://psearch.kitsapgov.com/webappa/index.html?parcelID=2420800&amp;Theme=Imagery","2420800")</f>
        <v>2420800</v>
      </c>
      <c r="G490" s="37" t="s">
        <v>5361</v>
      </c>
      <c r="H490" s="38">
        <v>44812</v>
      </c>
      <c r="I490" s="39">
        <v>3882400</v>
      </c>
      <c r="J490" s="40">
        <v>0.28999999999999998</v>
      </c>
      <c r="K490" s="37" t="s">
        <v>679</v>
      </c>
      <c r="L490" s="37" t="s">
        <v>38</v>
      </c>
      <c r="M490" s="37" t="s">
        <v>5629</v>
      </c>
      <c r="N490" s="37" t="s">
        <v>5630</v>
      </c>
    </row>
    <row r="491" spans="1:14" ht="20.100000000000001" customHeight="1" x14ac:dyDescent="0.25">
      <c r="A491" s="36" t="s">
        <v>5628</v>
      </c>
      <c r="B491" s="37" t="s">
        <v>185</v>
      </c>
      <c r="C491" s="36">
        <v>8401102</v>
      </c>
      <c r="D491" s="37" t="s">
        <v>17</v>
      </c>
      <c r="E491" s="36" t="s">
        <v>5362</v>
      </c>
      <c r="F491" s="21" t="str">
        <f>HYPERLINK("https://psearch.kitsapgov.com/webappa/index.html?parcelID=2420818&amp;Theme=Imagery","2420818")</f>
        <v>2420818</v>
      </c>
      <c r="G491" s="37" t="s">
        <v>5363</v>
      </c>
      <c r="H491" s="38">
        <v>44812</v>
      </c>
      <c r="I491" s="39">
        <v>3882400</v>
      </c>
      <c r="J491" s="40">
        <v>0.15</v>
      </c>
      <c r="K491" s="37" t="s">
        <v>679</v>
      </c>
      <c r="L491" s="37" t="s">
        <v>38</v>
      </c>
      <c r="M491" s="37" t="s">
        <v>5629</v>
      </c>
      <c r="N491" s="37" t="s">
        <v>5630</v>
      </c>
    </row>
    <row r="492" spans="1:14" ht="20.100000000000001" customHeight="1" x14ac:dyDescent="0.25">
      <c r="A492" s="36" t="s">
        <v>5628</v>
      </c>
      <c r="B492" s="37" t="s">
        <v>185</v>
      </c>
      <c r="C492" s="36">
        <v>8401102</v>
      </c>
      <c r="D492" s="37" t="s">
        <v>17</v>
      </c>
      <c r="E492" s="36" t="s">
        <v>5364</v>
      </c>
      <c r="F492" s="21" t="str">
        <f>HYPERLINK("https://psearch.kitsapgov.com/webappa/index.html?parcelID=2420826&amp;Theme=Imagery","2420826")</f>
        <v>2420826</v>
      </c>
      <c r="G492" s="37" t="s">
        <v>5365</v>
      </c>
      <c r="H492" s="38">
        <v>44812</v>
      </c>
      <c r="I492" s="39">
        <v>3882400</v>
      </c>
      <c r="J492" s="40">
        <v>0.11</v>
      </c>
      <c r="K492" s="37" t="s">
        <v>679</v>
      </c>
      <c r="L492" s="37" t="s">
        <v>38</v>
      </c>
      <c r="M492" s="37" t="s">
        <v>5629</v>
      </c>
      <c r="N492" s="37" t="s">
        <v>5630</v>
      </c>
    </row>
    <row r="493" spans="1:14" ht="20.100000000000001" customHeight="1" x14ac:dyDescent="0.25">
      <c r="A493" s="36" t="s">
        <v>5628</v>
      </c>
      <c r="B493" s="37" t="s">
        <v>533</v>
      </c>
      <c r="C493" s="36">
        <v>8401102</v>
      </c>
      <c r="D493" s="37" t="s">
        <v>17</v>
      </c>
      <c r="E493" s="36" t="s">
        <v>5366</v>
      </c>
      <c r="F493" s="21" t="str">
        <f>HYPERLINK("https://psearch.kitsapgov.com/webappa/index.html?parcelID=2420834&amp;Theme=Imagery","2420834")</f>
        <v>2420834</v>
      </c>
      <c r="G493" s="37" t="s">
        <v>5367</v>
      </c>
      <c r="H493" s="38">
        <v>44812</v>
      </c>
      <c r="I493" s="39">
        <v>3882400</v>
      </c>
      <c r="J493" s="40">
        <v>0.42</v>
      </c>
      <c r="K493" s="37" t="s">
        <v>679</v>
      </c>
      <c r="L493" s="37" t="s">
        <v>38</v>
      </c>
      <c r="M493" s="37" t="s">
        <v>5629</v>
      </c>
      <c r="N493" s="37" t="s">
        <v>5630</v>
      </c>
    </row>
    <row r="494" spans="1:14" ht="39.950000000000003" customHeight="1" x14ac:dyDescent="0.25">
      <c r="A494" s="36" t="s">
        <v>5631</v>
      </c>
      <c r="B494" s="37" t="s">
        <v>209</v>
      </c>
      <c r="C494" s="36">
        <v>8401102</v>
      </c>
      <c r="D494" s="37" t="s">
        <v>17</v>
      </c>
      <c r="E494" s="36" t="s">
        <v>1805</v>
      </c>
      <c r="F494" s="21" t="str">
        <f>HYPERLINK("https://psearch.kitsapgov.com/webappa/index.html?parcelID=1659028&amp;Theme=Imagery","1659028")</f>
        <v>1659028</v>
      </c>
      <c r="G494" s="37" t="s">
        <v>1806</v>
      </c>
      <c r="H494" s="38">
        <v>44823</v>
      </c>
      <c r="I494" s="39">
        <v>2050000</v>
      </c>
      <c r="J494" s="40">
        <v>0.17</v>
      </c>
      <c r="K494" s="37" t="s">
        <v>679</v>
      </c>
      <c r="L494" s="37" t="s">
        <v>4517</v>
      </c>
      <c r="M494" s="37" t="s">
        <v>1812</v>
      </c>
      <c r="N494" s="37" t="s">
        <v>5632</v>
      </c>
    </row>
    <row r="495" spans="1:14" ht="20.100000000000001" customHeight="1" x14ac:dyDescent="0.25">
      <c r="A495" s="36" t="s">
        <v>5631</v>
      </c>
      <c r="B495" s="37" t="s">
        <v>24</v>
      </c>
      <c r="C495" s="36">
        <v>8401102</v>
      </c>
      <c r="D495" s="37" t="s">
        <v>17</v>
      </c>
      <c r="E495" s="36" t="s">
        <v>1810</v>
      </c>
      <c r="F495" s="21" t="str">
        <f>HYPERLINK("https://psearch.kitsapgov.com/webappa/index.html?parcelID=2293371&amp;Theme=Imagery","2293371")</f>
        <v>2293371</v>
      </c>
      <c r="G495" s="37" t="s">
        <v>1811</v>
      </c>
      <c r="H495" s="38">
        <v>44823</v>
      </c>
      <c r="I495" s="39">
        <v>2050000</v>
      </c>
      <c r="J495" s="40">
        <v>0.12</v>
      </c>
      <c r="K495" s="37" t="s">
        <v>679</v>
      </c>
      <c r="L495" s="37" t="s">
        <v>4517</v>
      </c>
      <c r="M495" s="37" t="s">
        <v>1812</v>
      </c>
      <c r="N495" s="37" t="s">
        <v>5632</v>
      </c>
    </row>
    <row r="496" spans="1:14" ht="39.950000000000003" customHeight="1" x14ac:dyDescent="0.25">
      <c r="A496" s="36" t="s">
        <v>5633</v>
      </c>
      <c r="B496" s="37" t="s">
        <v>909</v>
      </c>
      <c r="C496" s="36">
        <v>8303601</v>
      </c>
      <c r="D496" s="37" t="s">
        <v>25</v>
      </c>
      <c r="E496" s="36" t="s">
        <v>4759</v>
      </c>
      <c r="F496" s="21" t="str">
        <f>HYPERLINK("https://psearch.kitsapgov.com/webappa/index.html?parcelID=2434181&amp;Theme=Imagery","2434181")</f>
        <v>2434181</v>
      </c>
      <c r="G496" s="37" t="s">
        <v>4760</v>
      </c>
      <c r="H496" s="38">
        <v>44826</v>
      </c>
      <c r="I496" s="39">
        <v>185000</v>
      </c>
      <c r="J496" s="40">
        <v>4.9800000000000004</v>
      </c>
      <c r="K496" s="37" t="s">
        <v>421</v>
      </c>
      <c r="L496" s="37" t="s">
        <v>944</v>
      </c>
      <c r="M496" s="37" t="s">
        <v>5634</v>
      </c>
      <c r="N496" s="37" t="s">
        <v>5635</v>
      </c>
    </row>
    <row r="497" spans="1:14" ht="20.100000000000001" customHeight="1" x14ac:dyDescent="0.25">
      <c r="A497" s="36" t="s">
        <v>5633</v>
      </c>
      <c r="B497" s="37" t="s">
        <v>4603</v>
      </c>
      <c r="C497" s="36">
        <v>7303604</v>
      </c>
      <c r="D497" s="37" t="s">
        <v>4763</v>
      </c>
      <c r="E497" s="36" t="s">
        <v>5636</v>
      </c>
      <c r="F497" s="21" t="str">
        <f>HYPERLINK("https://psearch.kitsapgov.com/webappa/index.html?parcelID=2393171&amp;Theme=Imagery","2393171")</f>
        <v>2393171</v>
      </c>
      <c r="G497" s="37" t="s">
        <v>3019</v>
      </c>
      <c r="H497" s="38">
        <v>44826</v>
      </c>
      <c r="I497" s="39">
        <v>185000</v>
      </c>
      <c r="J497" s="40">
        <v>0</v>
      </c>
      <c r="L497" s="37" t="s">
        <v>944</v>
      </c>
      <c r="M497" s="37" t="s">
        <v>5634</v>
      </c>
      <c r="N497" s="37" t="s">
        <v>5635</v>
      </c>
    </row>
    <row r="498" spans="1:14" ht="39.950000000000003" customHeight="1" x14ac:dyDescent="0.25">
      <c r="A498" s="36" t="s">
        <v>5637</v>
      </c>
      <c r="B498" s="37" t="s">
        <v>834</v>
      </c>
      <c r="C498" s="36">
        <v>8401508</v>
      </c>
      <c r="D498" s="37" t="s">
        <v>1341</v>
      </c>
      <c r="E498" s="36" t="s">
        <v>5638</v>
      </c>
      <c r="F498" s="21" t="str">
        <f>HYPERLINK("https://psearch.kitsapgov.com/webappa/index.html?parcelID=2027845&amp;Theme=Imagery","2027845")</f>
        <v>2027845</v>
      </c>
      <c r="G498" s="37" t="s">
        <v>5639</v>
      </c>
      <c r="H498" s="38">
        <v>44833</v>
      </c>
      <c r="I498" s="39">
        <v>2000000</v>
      </c>
      <c r="J498" s="40">
        <v>1.07</v>
      </c>
      <c r="K498" s="37" t="s">
        <v>37</v>
      </c>
      <c r="L498" s="37" t="s">
        <v>4517</v>
      </c>
      <c r="M498" s="37" t="s">
        <v>5640</v>
      </c>
      <c r="N498" s="37" t="s">
        <v>5641</v>
      </c>
    </row>
    <row r="499" spans="1:14" ht="20.100000000000001" customHeight="1" x14ac:dyDescent="0.25">
      <c r="A499" s="36" t="s">
        <v>5637</v>
      </c>
      <c r="B499" s="37" t="s">
        <v>105</v>
      </c>
      <c r="C499" s="36">
        <v>8401508</v>
      </c>
      <c r="D499" s="37" t="s">
        <v>1341</v>
      </c>
      <c r="E499" s="36" t="s">
        <v>5642</v>
      </c>
      <c r="F499" s="21" t="str">
        <f>HYPERLINK("https://psearch.kitsapgov.com/webappa/index.html?parcelID=2326932&amp;Theme=Imagery","2326932")</f>
        <v>2326932</v>
      </c>
      <c r="G499" s="37" t="s">
        <v>5643</v>
      </c>
      <c r="H499" s="38">
        <v>44833</v>
      </c>
      <c r="I499" s="39">
        <v>2000000</v>
      </c>
      <c r="J499" s="40">
        <v>1.37</v>
      </c>
      <c r="K499" s="37" t="s">
        <v>37</v>
      </c>
      <c r="L499" s="37" t="s">
        <v>4517</v>
      </c>
      <c r="M499" s="37" t="s">
        <v>5640</v>
      </c>
      <c r="N499" s="37" t="s">
        <v>5641</v>
      </c>
    </row>
    <row r="500" spans="1:14" ht="39.950000000000003" customHeight="1" x14ac:dyDescent="0.25">
      <c r="A500" s="36" t="s">
        <v>5644</v>
      </c>
      <c r="B500" s="37" t="s">
        <v>78</v>
      </c>
      <c r="C500" s="36">
        <v>9401190</v>
      </c>
      <c r="D500" s="37" t="s">
        <v>330</v>
      </c>
      <c r="E500" s="36" t="s">
        <v>3671</v>
      </c>
      <c r="F500" s="21" t="str">
        <f>HYPERLINK("https://psearch.kitsapgov.com/webappa/index.html?parcelID=1222975&amp;Theme=Imagery","1222975")</f>
        <v>1222975</v>
      </c>
      <c r="G500" s="37" t="s">
        <v>3672</v>
      </c>
      <c r="H500" s="38">
        <v>44824</v>
      </c>
      <c r="I500" s="39">
        <v>680000</v>
      </c>
      <c r="J500" s="40">
        <v>1.79</v>
      </c>
      <c r="K500" s="37" t="s">
        <v>37</v>
      </c>
      <c r="L500" s="37" t="s">
        <v>4552</v>
      </c>
      <c r="M500" s="37" t="s">
        <v>5645</v>
      </c>
      <c r="N500" s="37" t="s">
        <v>5646</v>
      </c>
    </row>
    <row r="501" spans="1:14" ht="39.950000000000003" customHeight="1" x14ac:dyDescent="0.25">
      <c r="A501" s="36" t="s">
        <v>5647</v>
      </c>
      <c r="B501" s="37" t="s">
        <v>262</v>
      </c>
      <c r="C501" s="36">
        <v>8402306</v>
      </c>
      <c r="D501" s="37" t="s">
        <v>621</v>
      </c>
      <c r="E501" s="36" t="s">
        <v>5648</v>
      </c>
      <c r="F501" s="21" t="str">
        <f>HYPERLINK("https://psearch.kitsapgov.com/webappa/index.html?parcelID=1161330&amp;Theme=Imagery","1161330")</f>
        <v>1161330</v>
      </c>
      <c r="G501" s="37" t="s">
        <v>5649</v>
      </c>
      <c r="H501" s="38">
        <v>44854</v>
      </c>
      <c r="I501" s="39">
        <v>145000</v>
      </c>
      <c r="J501" s="40">
        <v>0.19</v>
      </c>
      <c r="K501" s="37" t="s">
        <v>515</v>
      </c>
      <c r="L501" s="37" t="s">
        <v>4552</v>
      </c>
      <c r="M501" s="37" t="s">
        <v>5650</v>
      </c>
      <c r="N501" s="37" t="s">
        <v>5651</v>
      </c>
    </row>
    <row r="502" spans="1:14" ht="20.100000000000001" customHeight="1" x14ac:dyDescent="0.25">
      <c r="A502" s="36" t="s">
        <v>5647</v>
      </c>
      <c r="B502" s="37" t="s">
        <v>105</v>
      </c>
      <c r="C502" s="36">
        <v>8402306</v>
      </c>
      <c r="D502" s="37" t="s">
        <v>621</v>
      </c>
      <c r="E502" s="36" t="s">
        <v>5652</v>
      </c>
      <c r="F502" s="21" t="str">
        <f>HYPERLINK("https://psearch.kitsapgov.com/webappa/index.html?parcelID=1161348&amp;Theme=Imagery","1161348")</f>
        <v>1161348</v>
      </c>
      <c r="G502" s="37" t="s">
        <v>5653</v>
      </c>
      <c r="H502" s="38">
        <v>44854</v>
      </c>
      <c r="I502" s="39">
        <v>145000</v>
      </c>
      <c r="J502" s="40">
        <v>0.03</v>
      </c>
      <c r="K502" s="37" t="s">
        <v>515</v>
      </c>
      <c r="L502" s="37" t="s">
        <v>4552</v>
      </c>
      <c r="M502" s="37" t="s">
        <v>5650</v>
      </c>
      <c r="N502" s="37" t="s">
        <v>5651</v>
      </c>
    </row>
    <row r="503" spans="1:14" ht="39.950000000000003" customHeight="1" x14ac:dyDescent="0.25">
      <c r="A503" s="36" t="s">
        <v>5654</v>
      </c>
      <c r="B503" s="37" t="s">
        <v>793</v>
      </c>
      <c r="C503" s="36">
        <v>8100502</v>
      </c>
      <c r="D503" s="37" t="s">
        <v>142</v>
      </c>
      <c r="E503" s="36" t="s">
        <v>5655</v>
      </c>
      <c r="F503" s="21" t="str">
        <f>HYPERLINK("https://psearch.kitsapgov.com/webappa/index.html?parcelID=1457225&amp;Theme=Imagery","1457225")</f>
        <v>1457225</v>
      </c>
      <c r="G503" s="37" t="s">
        <v>5656</v>
      </c>
      <c r="H503" s="38">
        <v>44861</v>
      </c>
      <c r="I503" s="39">
        <v>1100000</v>
      </c>
      <c r="J503" s="40">
        <v>0.32</v>
      </c>
      <c r="K503" s="37" t="s">
        <v>168</v>
      </c>
      <c r="L503" s="37" t="s">
        <v>4517</v>
      </c>
      <c r="M503" s="37" t="s">
        <v>5657</v>
      </c>
      <c r="N503" s="37" t="s">
        <v>5658</v>
      </c>
    </row>
    <row r="504" spans="1:14" ht="20.100000000000001" customHeight="1" x14ac:dyDescent="0.25">
      <c r="A504" s="36" t="s">
        <v>5654</v>
      </c>
      <c r="B504" s="37" t="s">
        <v>850</v>
      </c>
      <c r="C504" s="36">
        <v>7100541</v>
      </c>
      <c r="D504" s="37" t="s">
        <v>4507</v>
      </c>
      <c r="E504" s="36" t="s">
        <v>5659</v>
      </c>
      <c r="F504" s="21" t="str">
        <f>HYPERLINK("https://psearch.kitsapgov.com/webappa/index.html?parcelID=1457233&amp;Theme=Imagery","1457233")</f>
        <v>1457233</v>
      </c>
      <c r="G504" s="37" t="s">
        <v>5660</v>
      </c>
      <c r="H504" s="38">
        <v>44861</v>
      </c>
      <c r="I504" s="39">
        <v>1100000</v>
      </c>
      <c r="J504" s="40">
        <v>0.14000000000000001</v>
      </c>
      <c r="K504" s="37" t="s">
        <v>5661</v>
      </c>
      <c r="L504" s="37" t="s">
        <v>4517</v>
      </c>
      <c r="M504" s="37" t="s">
        <v>5657</v>
      </c>
      <c r="N504" s="37" t="s">
        <v>5658</v>
      </c>
    </row>
    <row r="505" spans="1:14" ht="39.950000000000003" customHeight="1" x14ac:dyDescent="0.25">
      <c r="A505" s="36" t="s">
        <v>5662</v>
      </c>
      <c r="B505" s="37" t="s">
        <v>105</v>
      </c>
      <c r="C505" s="36">
        <v>7402390</v>
      </c>
      <c r="D505" s="37" t="s">
        <v>4527</v>
      </c>
      <c r="E505" s="36" t="s">
        <v>5663</v>
      </c>
      <c r="F505" s="21" t="str">
        <f>HYPERLINK("https://psearch.kitsapgov.com/webappa/index.html?parcelID=1051077&amp;Theme=Imagery","1051077")</f>
        <v>1051077</v>
      </c>
      <c r="G505" s="37" t="s">
        <v>5664</v>
      </c>
      <c r="H505" s="38">
        <v>44882</v>
      </c>
      <c r="I505" s="39">
        <v>491000</v>
      </c>
      <c r="J505" s="40">
        <v>1.37</v>
      </c>
      <c r="K505" s="37" t="s">
        <v>176</v>
      </c>
      <c r="L505" s="37" t="s">
        <v>4517</v>
      </c>
      <c r="M505" s="37" t="s">
        <v>5665</v>
      </c>
      <c r="N505" s="37" t="s">
        <v>5666</v>
      </c>
    </row>
    <row r="506" spans="1:14" ht="20.100000000000001" customHeight="1" x14ac:dyDescent="0.25">
      <c r="A506" s="36" t="s">
        <v>5662</v>
      </c>
      <c r="B506" s="37" t="s">
        <v>105</v>
      </c>
      <c r="C506" s="36">
        <v>7402390</v>
      </c>
      <c r="D506" s="37" t="s">
        <v>4527</v>
      </c>
      <c r="E506" s="36" t="s">
        <v>5667</v>
      </c>
      <c r="F506" s="21" t="str">
        <f>HYPERLINK("https://psearch.kitsapgov.com/webappa/index.html?parcelID=1051333&amp;Theme=Imagery","1051333")</f>
        <v>1051333</v>
      </c>
      <c r="G506" s="37" t="s">
        <v>5664</v>
      </c>
      <c r="H506" s="38">
        <v>44882</v>
      </c>
      <c r="I506" s="39">
        <v>491000</v>
      </c>
      <c r="J506" s="40">
        <v>1.37</v>
      </c>
      <c r="K506" s="37" t="s">
        <v>176</v>
      </c>
      <c r="L506" s="37" t="s">
        <v>4517</v>
      </c>
      <c r="M506" s="37" t="s">
        <v>5665</v>
      </c>
      <c r="N506" s="37" t="s">
        <v>5666</v>
      </c>
    </row>
    <row r="507" spans="1:14" ht="20.100000000000001" customHeight="1" x14ac:dyDescent="0.25">
      <c r="A507" s="36" t="s">
        <v>5662</v>
      </c>
      <c r="B507" s="37" t="s">
        <v>70</v>
      </c>
      <c r="C507" s="36">
        <v>8402305</v>
      </c>
      <c r="D507" s="37" t="s">
        <v>452</v>
      </c>
      <c r="E507" s="36" t="s">
        <v>5668</v>
      </c>
      <c r="F507" s="21" t="str">
        <f>HYPERLINK("https://psearch.kitsapgov.com/webappa/index.html?parcelID=1051382&amp;Theme=Imagery","1051382")</f>
        <v>1051382</v>
      </c>
      <c r="G507" s="37" t="s">
        <v>5669</v>
      </c>
      <c r="H507" s="38">
        <v>44882</v>
      </c>
      <c r="I507" s="39">
        <v>491000</v>
      </c>
      <c r="J507" s="40">
        <v>1.37</v>
      </c>
      <c r="K507" s="37" t="s">
        <v>37</v>
      </c>
      <c r="L507" s="37" t="s">
        <v>4517</v>
      </c>
      <c r="M507" s="37" t="s">
        <v>5665</v>
      </c>
      <c r="N507" s="37" t="s">
        <v>5666</v>
      </c>
    </row>
    <row r="508" spans="1:14" ht="39.950000000000003" customHeight="1" x14ac:dyDescent="0.25">
      <c r="A508" s="36" t="s">
        <v>5670</v>
      </c>
      <c r="B508" s="37" t="s">
        <v>105</v>
      </c>
      <c r="C508" s="36">
        <v>8100502</v>
      </c>
      <c r="D508" s="37" t="s">
        <v>142</v>
      </c>
      <c r="E508" s="36" t="s">
        <v>5671</v>
      </c>
      <c r="F508" s="21" t="str">
        <f>HYPERLINK("https://psearch.kitsapgov.com/webappa/index.html?parcelID=2505352&amp;Theme=Imagery","2505352")</f>
        <v>2505352</v>
      </c>
      <c r="G508" s="37" t="s">
        <v>5672</v>
      </c>
      <c r="H508" s="38">
        <v>44883</v>
      </c>
      <c r="I508" s="39">
        <v>734063</v>
      </c>
      <c r="J508" s="40">
        <v>1.17</v>
      </c>
      <c r="K508" s="37" t="s">
        <v>145</v>
      </c>
      <c r="L508" s="37" t="s">
        <v>4517</v>
      </c>
      <c r="M508" s="37" t="s">
        <v>552</v>
      </c>
      <c r="N508" s="37" t="s">
        <v>2966</v>
      </c>
    </row>
    <row r="509" spans="1:14" ht="20.100000000000001" customHeight="1" x14ac:dyDescent="0.25">
      <c r="A509" s="36" t="s">
        <v>5670</v>
      </c>
      <c r="B509" s="37" t="s">
        <v>105</v>
      </c>
      <c r="C509" s="36">
        <v>8100502</v>
      </c>
      <c r="D509" s="37" t="s">
        <v>142</v>
      </c>
      <c r="E509" s="36" t="s">
        <v>5673</v>
      </c>
      <c r="F509" s="21" t="str">
        <f>HYPERLINK("https://psearch.kitsapgov.com/webappa/index.html?parcelID=2505360&amp;Theme=Imagery","2505360")</f>
        <v>2505360</v>
      </c>
      <c r="G509" s="37" t="s">
        <v>5674</v>
      </c>
      <c r="H509" s="38">
        <v>44883</v>
      </c>
      <c r="I509" s="39">
        <v>734063</v>
      </c>
      <c r="J509" s="40">
        <v>1.53</v>
      </c>
      <c r="K509" s="37" t="s">
        <v>145</v>
      </c>
      <c r="L509" s="37" t="s">
        <v>4517</v>
      </c>
      <c r="M509" s="37" t="s">
        <v>552</v>
      </c>
      <c r="N509" s="37" t="s">
        <v>2966</v>
      </c>
    </row>
    <row r="510" spans="1:14" ht="39.950000000000003" customHeight="1" x14ac:dyDescent="0.25">
      <c r="A510" s="36" t="s">
        <v>5675</v>
      </c>
      <c r="B510" s="37" t="s">
        <v>4072</v>
      </c>
      <c r="C510" s="36">
        <v>8402306</v>
      </c>
      <c r="D510" s="37" t="s">
        <v>621</v>
      </c>
      <c r="E510" s="36" t="s">
        <v>5676</v>
      </c>
      <c r="F510" s="21" t="str">
        <f>HYPERLINK("https://psearch.kitsapgov.com/webappa/index.html?parcelID=1738111&amp;Theme=Imagery","1738111")</f>
        <v>1738111</v>
      </c>
      <c r="G510" s="37" t="s">
        <v>5677</v>
      </c>
      <c r="H510" s="38">
        <v>44894</v>
      </c>
      <c r="I510" s="39">
        <v>3500000</v>
      </c>
      <c r="J510" s="40">
        <v>0.02</v>
      </c>
      <c r="K510" s="37" t="s">
        <v>880</v>
      </c>
      <c r="L510" s="37" t="s">
        <v>4552</v>
      </c>
      <c r="M510" s="37" t="s">
        <v>5678</v>
      </c>
      <c r="N510" s="37" t="s">
        <v>5679</v>
      </c>
    </row>
    <row r="511" spans="1:14" ht="20.100000000000001" customHeight="1" x14ac:dyDescent="0.25">
      <c r="A511" s="36" t="s">
        <v>5675</v>
      </c>
      <c r="B511" s="37" t="s">
        <v>4072</v>
      </c>
      <c r="C511" s="36">
        <v>8402306</v>
      </c>
      <c r="D511" s="37" t="s">
        <v>621</v>
      </c>
      <c r="E511" s="36" t="s">
        <v>5680</v>
      </c>
      <c r="F511" s="21" t="str">
        <f>HYPERLINK("https://psearch.kitsapgov.com/webappa/index.html?parcelID=2264711&amp;Theme=Imagery","2264711")</f>
        <v>2264711</v>
      </c>
      <c r="G511" s="37" t="s">
        <v>5681</v>
      </c>
      <c r="H511" s="38">
        <v>44894</v>
      </c>
      <c r="I511" s="39">
        <v>3500000</v>
      </c>
      <c r="J511" s="40">
        <v>0</v>
      </c>
      <c r="L511" s="37" t="s">
        <v>4552</v>
      </c>
      <c r="M511" s="37" t="s">
        <v>5678</v>
      </c>
      <c r="N511" s="37" t="s">
        <v>5679</v>
      </c>
    </row>
    <row r="512" spans="1:14" ht="39.950000000000003" customHeight="1" x14ac:dyDescent="0.25">
      <c r="A512" s="36" t="s">
        <v>5682</v>
      </c>
      <c r="B512" s="37" t="s">
        <v>105</v>
      </c>
      <c r="C512" s="36">
        <v>8402307</v>
      </c>
      <c r="D512" s="37" t="s">
        <v>131</v>
      </c>
      <c r="E512" s="36" t="s">
        <v>4523</v>
      </c>
      <c r="F512" s="21" t="str">
        <f>HYPERLINK("https://psearch.kitsapgov.com/webappa/index.html?parcelID=1930197&amp;Theme=Imagery","1930197")</f>
        <v>1930197</v>
      </c>
      <c r="G512" s="37" t="s">
        <v>4524</v>
      </c>
      <c r="H512" s="38">
        <v>44908</v>
      </c>
      <c r="I512" s="39">
        <v>700000</v>
      </c>
      <c r="J512" s="40">
        <v>4.66</v>
      </c>
      <c r="K512" s="37" t="s">
        <v>37</v>
      </c>
      <c r="L512" s="37" t="s">
        <v>4517</v>
      </c>
      <c r="M512" s="37" t="s">
        <v>4525</v>
      </c>
      <c r="N512" s="37" t="s">
        <v>5683</v>
      </c>
    </row>
    <row r="513" spans="1:14" ht="20.100000000000001" customHeight="1" x14ac:dyDescent="0.25">
      <c r="A513" s="36" t="s">
        <v>5682</v>
      </c>
      <c r="B513" s="37" t="s">
        <v>105</v>
      </c>
      <c r="C513" s="36">
        <v>8402307</v>
      </c>
      <c r="D513" s="37" t="s">
        <v>131</v>
      </c>
      <c r="E513" s="36" t="s">
        <v>4526</v>
      </c>
      <c r="F513" s="21" t="str">
        <f>HYPERLINK("https://psearch.kitsapgov.com/webappa/index.html?parcelID=1209394&amp;Theme=Imagery","1209394")</f>
        <v>1209394</v>
      </c>
      <c r="G513" s="37" t="s">
        <v>4524</v>
      </c>
      <c r="H513" s="38">
        <v>44908</v>
      </c>
      <c r="I513" s="39">
        <v>700000</v>
      </c>
      <c r="J513" s="40">
        <v>4.66</v>
      </c>
      <c r="K513" s="37" t="s">
        <v>37</v>
      </c>
      <c r="L513" s="37" t="s">
        <v>4517</v>
      </c>
      <c r="M513" s="37" t="s">
        <v>4525</v>
      </c>
      <c r="N513" s="37" t="s">
        <v>5683</v>
      </c>
    </row>
    <row r="514" spans="1:14" ht="20.100000000000001" customHeight="1" x14ac:dyDescent="0.25">
      <c r="A514" s="36" t="s">
        <v>5682</v>
      </c>
      <c r="B514" s="37" t="s">
        <v>105</v>
      </c>
      <c r="C514" s="36">
        <v>7402390</v>
      </c>
      <c r="D514" s="37" t="s">
        <v>4527</v>
      </c>
      <c r="E514" s="36" t="s">
        <v>4528</v>
      </c>
      <c r="F514" s="21" t="str">
        <f>HYPERLINK("https://psearch.kitsapgov.com/webappa/index.html?parcelID=1209444&amp;Theme=Imagery","1209444")</f>
        <v>1209444</v>
      </c>
      <c r="G514" s="37" t="s">
        <v>3019</v>
      </c>
      <c r="H514" s="38">
        <v>44908</v>
      </c>
      <c r="I514" s="39">
        <v>700000</v>
      </c>
      <c r="J514" s="40">
        <v>0.47</v>
      </c>
      <c r="K514" s="37" t="s">
        <v>176</v>
      </c>
      <c r="L514" s="37" t="s">
        <v>4517</v>
      </c>
      <c r="M514" s="37" t="s">
        <v>4525</v>
      </c>
      <c r="N514" s="37" t="s">
        <v>5683</v>
      </c>
    </row>
    <row r="515" spans="1:14" ht="39.950000000000003" customHeight="1" x14ac:dyDescent="0.25">
      <c r="A515" s="36" t="s">
        <v>5684</v>
      </c>
      <c r="B515" s="37" t="s">
        <v>533</v>
      </c>
      <c r="C515" s="36">
        <v>8401102</v>
      </c>
      <c r="D515" s="37" t="s">
        <v>17</v>
      </c>
      <c r="E515" s="36" t="s">
        <v>5685</v>
      </c>
      <c r="F515" s="21" t="str">
        <f>HYPERLINK("https://psearch.kitsapgov.com/webappa/index.html?parcelID=2008654&amp;Theme=Imagery","2008654")</f>
        <v>2008654</v>
      </c>
      <c r="G515" s="37" t="s">
        <v>5686</v>
      </c>
      <c r="H515" s="38">
        <v>44936</v>
      </c>
      <c r="I515" s="39">
        <v>3765000</v>
      </c>
      <c r="J515" s="40">
        <v>0.3</v>
      </c>
      <c r="K515" s="37" t="s">
        <v>679</v>
      </c>
      <c r="L515" s="37" t="s">
        <v>4517</v>
      </c>
      <c r="M515" s="37" t="s">
        <v>5687</v>
      </c>
      <c r="N515" s="37" t="s">
        <v>5688</v>
      </c>
    </row>
    <row r="516" spans="1:14" ht="20.100000000000001" customHeight="1" x14ac:dyDescent="0.25">
      <c r="A516" s="36" t="s">
        <v>5684</v>
      </c>
      <c r="B516" s="37" t="s">
        <v>533</v>
      </c>
      <c r="C516" s="36">
        <v>8401102</v>
      </c>
      <c r="D516" s="37" t="s">
        <v>17</v>
      </c>
      <c r="E516" s="36" t="s">
        <v>5689</v>
      </c>
      <c r="F516" s="21" t="str">
        <f>HYPERLINK("https://psearch.kitsapgov.com/webappa/index.html?parcelID=2008662&amp;Theme=Imagery","2008662")</f>
        <v>2008662</v>
      </c>
      <c r="G516" s="37" t="s">
        <v>5690</v>
      </c>
      <c r="H516" s="38">
        <v>44936</v>
      </c>
      <c r="I516" s="39">
        <v>3765000</v>
      </c>
      <c r="J516" s="40">
        <v>0.15</v>
      </c>
      <c r="K516" s="37" t="s">
        <v>679</v>
      </c>
      <c r="L516" s="37" t="s">
        <v>4517</v>
      </c>
      <c r="M516" s="37" t="s">
        <v>5687</v>
      </c>
      <c r="N516" s="37" t="s">
        <v>5688</v>
      </c>
    </row>
    <row r="517" spans="1:14" ht="20.100000000000001" customHeight="1" x14ac:dyDescent="0.25">
      <c r="A517" s="36" t="s">
        <v>5684</v>
      </c>
      <c r="B517" s="37" t="s">
        <v>533</v>
      </c>
      <c r="C517" s="36">
        <v>8401102</v>
      </c>
      <c r="D517" s="37" t="s">
        <v>17</v>
      </c>
      <c r="E517" s="36" t="s">
        <v>5691</v>
      </c>
      <c r="F517" s="21" t="str">
        <f>HYPERLINK("https://psearch.kitsapgov.com/webappa/index.html?parcelID=2008670&amp;Theme=Imagery","2008670")</f>
        <v>2008670</v>
      </c>
      <c r="G517" s="37" t="s">
        <v>5692</v>
      </c>
      <c r="H517" s="38">
        <v>44936</v>
      </c>
      <c r="I517" s="39">
        <v>3765000</v>
      </c>
      <c r="J517" s="40">
        <v>0.3</v>
      </c>
      <c r="K517" s="37" t="s">
        <v>679</v>
      </c>
      <c r="L517" s="37" t="s">
        <v>4517</v>
      </c>
      <c r="M517" s="37" t="s">
        <v>5687</v>
      </c>
      <c r="N517" s="37" t="s">
        <v>5688</v>
      </c>
    </row>
    <row r="518" spans="1:14" ht="39.950000000000003" customHeight="1" x14ac:dyDescent="0.25">
      <c r="A518" s="36" t="s">
        <v>5693</v>
      </c>
      <c r="B518" s="37" t="s">
        <v>78</v>
      </c>
      <c r="C518" s="36">
        <v>7402390</v>
      </c>
      <c r="D518" s="37" t="s">
        <v>4527</v>
      </c>
      <c r="E518" s="36" t="s">
        <v>4672</v>
      </c>
      <c r="F518" s="21" t="str">
        <f>HYPERLINK("https://psearch.kitsapgov.com/webappa/index.html?parcelID=1163245&amp;Theme=Imagery","1163245")</f>
        <v>1163245</v>
      </c>
      <c r="G518" s="37" t="s">
        <v>3019</v>
      </c>
      <c r="H518" s="38">
        <v>44936</v>
      </c>
      <c r="I518" s="39">
        <v>650000</v>
      </c>
      <c r="J518" s="40">
        <v>3.79</v>
      </c>
      <c r="K518" s="37" t="s">
        <v>4673</v>
      </c>
      <c r="L518" s="37" t="s">
        <v>4517</v>
      </c>
      <c r="M518" s="37" t="s">
        <v>5694</v>
      </c>
      <c r="N518" s="37" t="s">
        <v>5695</v>
      </c>
    </row>
    <row r="519" spans="1:14" ht="20.100000000000001" customHeight="1" x14ac:dyDescent="0.25">
      <c r="A519" s="36" t="s">
        <v>5693</v>
      </c>
      <c r="B519" s="37" t="s">
        <v>324</v>
      </c>
      <c r="C519" s="36">
        <v>8402305</v>
      </c>
      <c r="D519" s="37" t="s">
        <v>452</v>
      </c>
      <c r="E519" s="36" t="s">
        <v>4675</v>
      </c>
      <c r="F519" s="21" t="str">
        <f>HYPERLINK("https://psearch.kitsapgov.com/webappa/index.html?parcelID=1163427&amp;Theme=Imagery","1163427")</f>
        <v>1163427</v>
      </c>
      <c r="G519" s="37" t="s">
        <v>4676</v>
      </c>
      <c r="H519" s="38">
        <v>44936</v>
      </c>
      <c r="I519" s="39">
        <v>650000</v>
      </c>
      <c r="J519" s="40">
        <v>0.14000000000000001</v>
      </c>
      <c r="K519" s="37" t="s">
        <v>368</v>
      </c>
      <c r="L519" s="37" t="s">
        <v>4517</v>
      </c>
      <c r="M519" s="37" t="s">
        <v>5694</v>
      </c>
      <c r="N519" s="37" t="s">
        <v>5695</v>
      </c>
    </row>
    <row r="520" spans="1:14" ht="39.950000000000003" customHeight="1" x14ac:dyDescent="0.25">
      <c r="A520" s="36" t="s">
        <v>5696</v>
      </c>
      <c r="B520" s="37" t="s">
        <v>70</v>
      </c>
      <c r="C520" s="36">
        <v>8402408</v>
      </c>
      <c r="D520" s="37" t="s">
        <v>160</v>
      </c>
      <c r="E520" s="36" t="s">
        <v>5697</v>
      </c>
      <c r="F520" s="21" t="str">
        <f>HYPERLINK("https://psearch.kitsapgov.com/webappa/index.html?parcelID=1167907&amp;Theme=Imagery","1167907")</f>
        <v>1167907</v>
      </c>
      <c r="G520" s="37" t="s">
        <v>5698</v>
      </c>
      <c r="H520" s="38">
        <v>45027</v>
      </c>
      <c r="I520" s="39">
        <v>650000</v>
      </c>
      <c r="J520" s="40">
        <v>0.51</v>
      </c>
      <c r="K520" s="37" t="s">
        <v>37</v>
      </c>
      <c r="L520" s="37" t="s">
        <v>4517</v>
      </c>
      <c r="M520" s="37" t="s">
        <v>5699</v>
      </c>
      <c r="N520" s="37" t="s">
        <v>5700</v>
      </c>
    </row>
    <row r="521" spans="1:14" ht="20.100000000000001" customHeight="1" x14ac:dyDescent="0.25">
      <c r="A521" s="36" t="s">
        <v>5696</v>
      </c>
      <c r="B521" s="37" t="s">
        <v>62</v>
      </c>
      <c r="C521" s="36">
        <v>8402408</v>
      </c>
      <c r="D521" s="37" t="s">
        <v>160</v>
      </c>
      <c r="E521" s="36" t="s">
        <v>5701</v>
      </c>
      <c r="F521" s="21" t="str">
        <f>HYPERLINK("https://psearch.kitsapgov.com/webappa/index.html?parcelID=1911031&amp;Theme=Imagery","1911031")</f>
        <v>1911031</v>
      </c>
      <c r="G521" s="37" t="s">
        <v>5702</v>
      </c>
      <c r="H521" s="38">
        <v>45027</v>
      </c>
      <c r="I521" s="39">
        <v>650000</v>
      </c>
      <c r="J521" s="40">
        <v>0.31</v>
      </c>
      <c r="K521" s="37" t="s">
        <v>37</v>
      </c>
      <c r="L521" s="37" t="s">
        <v>4517</v>
      </c>
      <c r="M521" s="37" t="s">
        <v>5699</v>
      </c>
      <c r="N521" s="37" t="s">
        <v>5700</v>
      </c>
    </row>
    <row r="522" spans="1:14" ht="39.950000000000003" customHeight="1" x14ac:dyDescent="0.25">
      <c r="A522" s="36" t="s">
        <v>5703</v>
      </c>
      <c r="B522" s="37" t="s">
        <v>3685</v>
      </c>
      <c r="C522" s="36">
        <v>7100580</v>
      </c>
      <c r="D522" s="37" t="s">
        <v>5704</v>
      </c>
      <c r="E522" s="36" t="s">
        <v>5705</v>
      </c>
      <c r="F522" s="21" t="str">
        <f>HYPERLINK("https://psearch.kitsapgov.com/webappa/index.html?parcelID=2680965&amp;Theme=Imagery","2680965")</f>
        <v>2680965</v>
      </c>
      <c r="G522" s="37" t="s">
        <v>3019</v>
      </c>
      <c r="H522" s="38">
        <v>45092</v>
      </c>
      <c r="I522" s="39">
        <v>14250000</v>
      </c>
      <c r="J522" s="40">
        <v>0.64</v>
      </c>
      <c r="K522" s="37" t="s">
        <v>109</v>
      </c>
      <c r="L522" s="37" t="s">
        <v>4517</v>
      </c>
      <c r="M522" s="37" t="s">
        <v>5706</v>
      </c>
      <c r="N522" s="37" t="s">
        <v>5707</v>
      </c>
    </row>
    <row r="523" spans="1:14" ht="20.100000000000001" customHeight="1" x14ac:dyDescent="0.25">
      <c r="A523" s="36" t="s">
        <v>5703</v>
      </c>
      <c r="B523" s="37" t="s">
        <v>615</v>
      </c>
      <c r="C523" s="36">
        <v>8100506</v>
      </c>
      <c r="D523" s="37" t="s">
        <v>286</v>
      </c>
      <c r="E523" s="36" t="s">
        <v>5708</v>
      </c>
      <c r="F523" s="21" t="str">
        <f>HYPERLINK("https://psearch.kitsapgov.com/webappa/index.html?parcelID=2680973&amp;Theme=Imagery","2680973")</f>
        <v>2680973</v>
      </c>
      <c r="G523" s="37" t="s">
        <v>5709</v>
      </c>
      <c r="H523" s="38">
        <v>45092</v>
      </c>
      <c r="I523" s="39">
        <v>14250000</v>
      </c>
      <c r="J523" s="40">
        <v>0.82</v>
      </c>
      <c r="K523" s="37" t="s">
        <v>109</v>
      </c>
      <c r="L523" s="37" t="s">
        <v>4517</v>
      </c>
      <c r="M523" s="37" t="s">
        <v>5706</v>
      </c>
      <c r="N523" s="37" t="s">
        <v>5707</v>
      </c>
    </row>
    <row r="524" spans="1:14" ht="20.100000000000001" customHeight="1" x14ac:dyDescent="0.25">
      <c r="A524" s="36" t="s">
        <v>5703</v>
      </c>
      <c r="B524" s="37" t="s">
        <v>4634</v>
      </c>
      <c r="C524" s="36">
        <v>7100580</v>
      </c>
      <c r="D524" s="37" t="s">
        <v>5704</v>
      </c>
      <c r="E524" s="36" t="s">
        <v>5710</v>
      </c>
      <c r="F524" s="21" t="str">
        <f>HYPERLINK("https://psearch.kitsapgov.com/webappa/index.html?parcelID=2680981&amp;Theme=Imagery","2680981")</f>
        <v>2680981</v>
      </c>
      <c r="G524" s="37" t="s">
        <v>3019</v>
      </c>
      <c r="H524" s="38">
        <v>45092</v>
      </c>
      <c r="I524" s="39">
        <v>14250000</v>
      </c>
      <c r="J524" s="40">
        <v>0</v>
      </c>
      <c r="K524" s="37" t="s">
        <v>109</v>
      </c>
      <c r="L524" s="37" t="s">
        <v>4517</v>
      </c>
      <c r="M524" s="37" t="s">
        <v>5706</v>
      </c>
      <c r="N524" s="37" t="s">
        <v>5707</v>
      </c>
    </row>
    <row r="525" spans="1:14" ht="20.100000000000001" customHeight="1" x14ac:dyDescent="0.25">
      <c r="A525" s="36" t="s">
        <v>5703</v>
      </c>
      <c r="B525" s="37" t="s">
        <v>4634</v>
      </c>
      <c r="C525" s="36">
        <v>7100580</v>
      </c>
      <c r="D525" s="37" t="s">
        <v>5704</v>
      </c>
      <c r="E525" s="36" t="s">
        <v>5711</v>
      </c>
      <c r="F525" s="21" t="str">
        <f>HYPERLINK("https://psearch.kitsapgov.com/webappa/index.html?parcelID=2680999&amp;Theme=Imagery","2680999")</f>
        <v>2680999</v>
      </c>
      <c r="G525" s="37" t="s">
        <v>3019</v>
      </c>
      <c r="H525" s="38">
        <v>45092</v>
      </c>
      <c r="I525" s="39">
        <v>14250000</v>
      </c>
      <c r="J525" s="40">
        <v>0</v>
      </c>
      <c r="K525" s="37" t="s">
        <v>109</v>
      </c>
      <c r="L525" s="37" t="s">
        <v>4517</v>
      </c>
      <c r="M525" s="37" t="s">
        <v>5706</v>
      </c>
      <c r="N525" s="37" t="s">
        <v>5707</v>
      </c>
    </row>
    <row r="526" spans="1:14" ht="20.100000000000001" customHeight="1" x14ac:dyDescent="0.25">
      <c r="A526" s="36" t="s">
        <v>5703</v>
      </c>
      <c r="B526" s="37" t="s">
        <v>4634</v>
      </c>
      <c r="C526" s="36">
        <v>7100580</v>
      </c>
      <c r="D526" s="37" t="s">
        <v>5704</v>
      </c>
      <c r="E526" s="36" t="s">
        <v>5712</v>
      </c>
      <c r="F526" s="21" t="str">
        <f>HYPERLINK("https://psearch.kitsapgov.com/webappa/index.html?parcelID=2681005&amp;Theme=Imagery","2681005")</f>
        <v>2681005</v>
      </c>
      <c r="G526" s="37" t="s">
        <v>3019</v>
      </c>
      <c r="H526" s="38">
        <v>45092</v>
      </c>
      <c r="I526" s="39">
        <v>14250000</v>
      </c>
      <c r="J526" s="40">
        <v>0</v>
      </c>
      <c r="K526" s="37" t="s">
        <v>109</v>
      </c>
      <c r="L526" s="37" t="s">
        <v>4517</v>
      </c>
      <c r="M526" s="37" t="s">
        <v>5706</v>
      </c>
      <c r="N526" s="37" t="s">
        <v>5707</v>
      </c>
    </row>
    <row r="527" spans="1:14" ht="20.100000000000001" customHeight="1" x14ac:dyDescent="0.25">
      <c r="A527" s="36" t="s">
        <v>5703</v>
      </c>
      <c r="B527" s="37" t="s">
        <v>4634</v>
      </c>
      <c r="C527" s="36">
        <v>7100580</v>
      </c>
      <c r="D527" s="37" t="s">
        <v>5704</v>
      </c>
      <c r="E527" s="36" t="s">
        <v>5713</v>
      </c>
      <c r="F527" s="21" t="str">
        <f>HYPERLINK("https://psearch.kitsapgov.com/webappa/index.html?parcelID=2681013&amp;Theme=Imagery","2681013")</f>
        <v>2681013</v>
      </c>
      <c r="G527" s="37" t="s">
        <v>3019</v>
      </c>
      <c r="H527" s="38">
        <v>45092</v>
      </c>
      <c r="I527" s="39">
        <v>14250000</v>
      </c>
      <c r="J527" s="40">
        <v>0</v>
      </c>
      <c r="K527" s="37" t="s">
        <v>109</v>
      </c>
      <c r="L527" s="37" t="s">
        <v>4517</v>
      </c>
      <c r="M527" s="37" t="s">
        <v>5706</v>
      </c>
      <c r="N527" s="37" t="s">
        <v>5707</v>
      </c>
    </row>
    <row r="528" spans="1:14" ht="20.100000000000001" customHeight="1" x14ac:dyDescent="0.25">
      <c r="A528" s="36" t="s">
        <v>5703</v>
      </c>
      <c r="B528" s="37" t="s">
        <v>4634</v>
      </c>
      <c r="C528" s="36">
        <v>7100580</v>
      </c>
      <c r="D528" s="37" t="s">
        <v>5704</v>
      </c>
      <c r="E528" s="36" t="s">
        <v>5714</v>
      </c>
      <c r="F528" s="21" t="str">
        <f>HYPERLINK("https://psearch.kitsapgov.com/webappa/index.html?parcelID=2681021&amp;Theme=Imagery","2681021")</f>
        <v>2681021</v>
      </c>
      <c r="G528" s="37" t="s">
        <v>3019</v>
      </c>
      <c r="H528" s="38">
        <v>45092</v>
      </c>
      <c r="I528" s="39">
        <v>14250000</v>
      </c>
      <c r="J528" s="40">
        <v>0</v>
      </c>
      <c r="K528" s="37" t="s">
        <v>109</v>
      </c>
      <c r="L528" s="37" t="s">
        <v>4517</v>
      </c>
      <c r="M528" s="37" t="s">
        <v>5706</v>
      </c>
      <c r="N528" s="37" t="s">
        <v>5707</v>
      </c>
    </row>
    <row r="529" spans="1:14" ht="20.100000000000001" customHeight="1" x14ac:dyDescent="0.25">
      <c r="A529" s="36" t="s">
        <v>5703</v>
      </c>
      <c r="B529" s="37" t="s">
        <v>4634</v>
      </c>
      <c r="C529" s="36">
        <v>7100580</v>
      </c>
      <c r="D529" s="37" t="s">
        <v>5704</v>
      </c>
      <c r="E529" s="36" t="s">
        <v>5715</v>
      </c>
      <c r="F529" s="21" t="str">
        <f>HYPERLINK("https://psearch.kitsapgov.com/webappa/index.html?parcelID=2681039&amp;Theme=Imagery","2681039")</f>
        <v>2681039</v>
      </c>
      <c r="G529" s="37" t="s">
        <v>3019</v>
      </c>
      <c r="H529" s="38">
        <v>45092</v>
      </c>
      <c r="I529" s="39">
        <v>14250000</v>
      </c>
      <c r="J529" s="40">
        <v>0</v>
      </c>
      <c r="K529" s="37" t="s">
        <v>109</v>
      </c>
      <c r="L529" s="37" t="s">
        <v>4517</v>
      </c>
      <c r="M529" s="37" t="s">
        <v>5706</v>
      </c>
      <c r="N529" s="37" t="s">
        <v>5707</v>
      </c>
    </row>
    <row r="530" spans="1:14" ht="20.100000000000001" customHeight="1" x14ac:dyDescent="0.25">
      <c r="A530" s="36" t="s">
        <v>5703</v>
      </c>
      <c r="B530" s="37" t="s">
        <v>4634</v>
      </c>
      <c r="C530" s="36">
        <v>7100580</v>
      </c>
      <c r="D530" s="37" t="s">
        <v>5704</v>
      </c>
      <c r="E530" s="36" t="s">
        <v>5716</v>
      </c>
      <c r="F530" s="21" t="str">
        <f>HYPERLINK("https://psearch.kitsapgov.com/webappa/index.html?parcelID=2681047&amp;Theme=Imagery","2681047")</f>
        <v>2681047</v>
      </c>
      <c r="G530" s="37" t="s">
        <v>3019</v>
      </c>
      <c r="H530" s="38">
        <v>45092</v>
      </c>
      <c r="I530" s="39">
        <v>14250000</v>
      </c>
      <c r="J530" s="40">
        <v>0</v>
      </c>
      <c r="K530" s="37" t="s">
        <v>109</v>
      </c>
      <c r="L530" s="37" t="s">
        <v>4517</v>
      </c>
      <c r="M530" s="37" t="s">
        <v>5706</v>
      </c>
      <c r="N530" s="37" t="s">
        <v>5707</v>
      </c>
    </row>
    <row r="531" spans="1:14" ht="20.100000000000001" customHeight="1" x14ac:dyDescent="0.25">
      <c r="A531" s="36" t="s">
        <v>5703</v>
      </c>
      <c r="B531" s="37" t="s">
        <v>4634</v>
      </c>
      <c r="C531" s="36">
        <v>7100580</v>
      </c>
      <c r="D531" s="37" t="s">
        <v>5704</v>
      </c>
      <c r="E531" s="36" t="s">
        <v>5717</v>
      </c>
      <c r="F531" s="21" t="str">
        <f>HYPERLINK("https://psearch.kitsapgov.com/webappa/index.html?parcelID=2681054&amp;Theme=Imagery","2681054")</f>
        <v>2681054</v>
      </c>
      <c r="G531" s="37" t="s">
        <v>3019</v>
      </c>
      <c r="H531" s="38">
        <v>45092</v>
      </c>
      <c r="I531" s="39">
        <v>14250000</v>
      </c>
      <c r="J531" s="40">
        <v>0</v>
      </c>
      <c r="K531" s="37" t="s">
        <v>109</v>
      </c>
      <c r="L531" s="37" t="s">
        <v>4517</v>
      </c>
      <c r="M531" s="37" t="s">
        <v>5706</v>
      </c>
      <c r="N531" s="37" t="s">
        <v>5707</v>
      </c>
    </row>
    <row r="532" spans="1:14" ht="20.100000000000001" customHeight="1" x14ac:dyDescent="0.25">
      <c r="A532" s="36" t="s">
        <v>5703</v>
      </c>
      <c r="B532" s="37" t="s">
        <v>4634</v>
      </c>
      <c r="C532" s="36">
        <v>7100580</v>
      </c>
      <c r="D532" s="37" t="s">
        <v>5704</v>
      </c>
      <c r="E532" s="36" t="s">
        <v>5718</v>
      </c>
      <c r="F532" s="21" t="str">
        <f>HYPERLINK("https://psearch.kitsapgov.com/webappa/index.html?parcelID=2681062&amp;Theme=Imagery","2681062")</f>
        <v>2681062</v>
      </c>
      <c r="G532" s="37" t="s">
        <v>3019</v>
      </c>
      <c r="H532" s="38">
        <v>45092</v>
      </c>
      <c r="I532" s="39">
        <v>14250000</v>
      </c>
      <c r="J532" s="40">
        <v>0</v>
      </c>
      <c r="K532" s="37" t="s">
        <v>109</v>
      </c>
      <c r="L532" s="37" t="s">
        <v>4517</v>
      </c>
      <c r="M532" s="37" t="s">
        <v>5706</v>
      </c>
      <c r="N532" s="37" t="s">
        <v>5707</v>
      </c>
    </row>
    <row r="533" spans="1:14" ht="20.100000000000001" customHeight="1" x14ac:dyDescent="0.25">
      <c r="A533" s="36" t="s">
        <v>5703</v>
      </c>
      <c r="B533" s="37" t="s">
        <v>4634</v>
      </c>
      <c r="C533" s="36">
        <v>7100580</v>
      </c>
      <c r="D533" s="37" t="s">
        <v>5704</v>
      </c>
      <c r="E533" s="36" t="s">
        <v>5719</v>
      </c>
      <c r="F533" s="21" t="str">
        <f>HYPERLINK("https://psearch.kitsapgov.com/webappa/index.html?parcelID=2681070&amp;Theme=Imagery","2681070")</f>
        <v>2681070</v>
      </c>
      <c r="G533" s="37" t="s">
        <v>3019</v>
      </c>
      <c r="H533" s="38">
        <v>45092</v>
      </c>
      <c r="I533" s="39">
        <v>14250000</v>
      </c>
      <c r="J533" s="40">
        <v>0</v>
      </c>
      <c r="K533" s="37" t="s">
        <v>109</v>
      </c>
      <c r="L533" s="37" t="s">
        <v>4517</v>
      </c>
      <c r="M533" s="37" t="s">
        <v>5706</v>
      </c>
      <c r="N533" s="37" t="s">
        <v>5707</v>
      </c>
    </row>
    <row r="534" spans="1:14" ht="20.100000000000001" customHeight="1" x14ac:dyDescent="0.25">
      <c r="A534" s="36" t="s">
        <v>5703</v>
      </c>
      <c r="B534" s="37" t="s">
        <v>4634</v>
      </c>
      <c r="C534" s="36">
        <v>7100580</v>
      </c>
      <c r="D534" s="37" t="s">
        <v>5704</v>
      </c>
      <c r="E534" s="36" t="s">
        <v>5720</v>
      </c>
      <c r="F534" s="21" t="str">
        <f>HYPERLINK("https://psearch.kitsapgov.com/webappa/index.html?parcelID=2681088&amp;Theme=Imagery","2681088")</f>
        <v>2681088</v>
      </c>
      <c r="G534" s="37" t="s">
        <v>3019</v>
      </c>
      <c r="H534" s="38">
        <v>45092</v>
      </c>
      <c r="I534" s="39">
        <v>14250000</v>
      </c>
      <c r="J534" s="40">
        <v>0</v>
      </c>
      <c r="K534" s="37" t="s">
        <v>109</v>
      </c>
      <c r="L534" s="37" t="s">
        <v>4517</v>
      </c>
      <c r="M534" s="37" t="s">
        <v>5706</v>
      </c>
      <c r="N534" s="37" t="s">
        <v>5707</v>
      </c>
    </row>
    <row r="535" spans="1:14" ht="20.100000000000001" customHeight="1" x14ac:dyDescent="0.25">
      <c r="A535" s="36" t="s">
        <v>5703</v>
      </c>
      <c r="B535" s="37" t="s">
        <v>4634</v>
      </c>
      <c r="C535" s="36">
        <v>7100580</v>
      </c>
      <c r="D535" s="37" t="s">
        <v>5704</v>
      </c>
      <c r="E535" s="36" t="s">
        <v>5721</v>
      </c>
      <c r="F535" s="21" t="str">
        <f>HYPERLINK("https://psearch.kitsapgov.com/webappa/index.html?parcelID=2681096&amp;Theme=Imagery","2681096")</f>
        <v>2681096</v>
      </c>
      <c r="G535" s="37" t="s">
        <v>3019</v>
      </c>
      <c r="H535" s="38">
        <v>45092</v>
      </c>
      <c r="I535" s="39">
        <v>14250000</v>
      </c>
      <c r="J535" s="40">
        <v>0</v>
      </c>
      <c r="K535" s="37" t="s">
        <v>109</v>
      </c>
      <c r="L535" s="37" t="s">
        <v>4517</v>
      </c>
      <c r="M535" s="37" t="s">
        <v>5706</v>
      </c>
      <c r="N535" s="37" t="s">
        <v>5707</v>
      </c>
    </row>
    <row r="536" spans="1:14" ht="20.100000000000001" customHeight="1" x14ac:dyDescent="0.25">
      <c r="A536" s="36" t="s">
        <v>5703</v>
      </c>
      <c r="B536" s="37" t="s">
        <v>4634</v>
      </c>
      <c r="C536" s="36">
        <v>7100580</v>
      </c>
      <c r="D536" s="37" t="s">
        <v>5704</v>
      </c>
      <c r="E536" s="36" t="s">
        <v>5722</v>
      </c>
      <c r="F536" s="21" t="str">
        <f>HYPERLINK("https://psearch.kitsapgov.com/webappa/index.html?parcelID=2681104&amp;Theme=Imagery","2681104")</f>
        <v>2681104</v>
      </c>
      <c r="G536" s="37" t="s">
        <v>3019</v>
      </c>
      <c r="H536" s="38">
        <v>45092</v>
      </c>
      <c r="I536" s="39">
        <v>14250000</v>
      </c>
      <c r="J536" s="40">
        <v>0</v>
      </c>
      <c r="K536" s="37" t="s">
        <v>109</v>
      </c>
      <c r="L536" s="37" t="s">
        <v>4517</v>
      </c>
      <c r="M536" s="37" t="s">
        <v>5706</v>
      </c>
      <c r="N536" s="37" t="s">
        <v>5707</v>
      </c>
    </row>
    <row r="537" spans="1:14" ht="20.100000000000001" customHeight="1" x14ac:dyDescent="0.25">
      <c r="A537" s="36" t="s">
        <v>5703</v>
      </c>
      <c r="B537" s="37" t="s">
        <v>4634</v>
      </c>
      <c r="C537" s="36">
        <v>7100580</v>
      </c>
      <c r="D537" s="37" t="s">
        <v>5704</v>
      </c>
      <c r="E537" s="36" t="s">
        <v>5723</v>
      </c>
      <c r="F537" s="21" t="str">
        <f>HYPERLINK("https://psearch.kitsapgov.com/webappa/index.html?parcelID=2681112&amp;Theme=Imagery","2681112")</f>
        <v>2681112</v>
      </c>
      <c r="G537" s="37" t="s">
        <v>3019</v>
      </c>
      <c r="H537" s="38">
        <v>45092</v>
      </c>
      <c r="I537" s="39">
        <v>14250000</v>
      </c>
      <c r="J537" s="40">
        <v>0</v>
      </c>
      <c r="K537" s="37" t="s">
        <v>109</v>
      </c>
      <c r="L537" s="37" t="s">
        <v>4517</v>
      </c>
      <c r="M537" s="37" t="s">
        <v>5706</v>
      </c>
      <c r="N537" s="37" t="s">
        <v>5707</v>
      </c>
    </row>
    <row r="538" spans="1:14" ht="20.100000000000001" customHeight="1" x14ac:dyDescent="0.25">
      <c r="A538" s="36" t="s">
        <v>5703</v>
      </c>
      <c r="B538" s="37" t="s">
        <v>4634</v>
      </c>
      <c r="C538" s="36">
        <v>7100580</v>
      </c>
      <c r="D538" s="37" t="s">
        <v>5704</v>
      </c>
      <c r="E538" s="36" t="s">
        <v>5724</v>
      </c>
      <c r="F538" s="21" t="str">
        <f>HYPERLINK("https://psearch.kitsapgov.com/webappa/index.html?parcelID=2681120&amp;Theme=Imagery","2681120")</f>
        <v>2681120</v>
      </c>
      <c r="G538" s="37" t="s">
        <v>3019</v>
      </c>
      <c r="H538" s="38">
        <v>45092</v>
      </c>
      <c r="I538" s="39">
        <v>14250000</v>
      </c>
      <c r="J538" s="40">
        <v>0</v>
      </c>
      <c r="K538" s="37" t="s">
        <v>109</v>
      </c>
      <c r="L538" s="37" t="s">
        <v>4517</v>
      </c>
      <c r="M538" s="37" t="s">
        <v>5706</v>
      </c>
      <c r="N538" s="37" t="s">
        <v>5707</v>
      </c>
    </row>
    <row r="539" spans="1:14" ht="20.100000000000001" customHeight="1" x14ac:dyDescent="0.25">
      <c r="A539" s="36" t="s">
        <v>5703</v>
      </c>
      <c r="B539" s="37" t="s">
        <v>4634</v>
      </c>
      <c r="C539" s="36">
        <v>7100580</v>
      </c>
      <c r="D539" s="37" t="s">
        <v>5704</v>
      </c>
      <c r="E539" s="36" t="s">
        <v>5725</v>
      </c>
      <c r="F539" s="21" t="str">
        <f>HYPERLINK("https://psearch.kitsapgov.com/webappa/index.html?parcelID=2681138&amp;Theme=Imagery","2681138")</f>
        <v>2681138</v>
      </c>
      <c r="G539" s="37" t="s">
        <v>3019</v>
      </c>
      <c r="H539" s="38">
        <v>45092</v>
      </c>
      <c r="I539" s="39">
        <v>14250000</v>
      </c>
      <c r="J539" s="40">
        <v>0</v>
      </c>
      <c r="K539" s="37" t="s">
        <v>109</v>
      </c>
      <c r="L539" s="37" t="s">
        <v>4517</v>
      </c>
      <c r="M539" s="37" t="s">
        <v>5706</v>
      </c>
      <c r="N539" s="37" t="s">
        <v>5707</v>
      </c>
    </row>
    <row r="540" spans="1:14" ht="20.100000000000001" customHeight="1" x14ac:dyDescent="0.25">
      <c r="A540" s="36" t="s">
        <v>5703</v>
      </c>
      <c r="B540" s="37" t="s">
        <v>4634</v>
      </c>
      <c r="C540" s="36">
        <v>7100580</v>
      </c>
      <c r="D540" s="37" t="s">
        <v>5704</v>
      </c>
      <c r="E540" s="36" t="s">
        <v>5726</v>
      </c>
      <c r="F540" s="21" t="str">
        <f>HYPERLINK("https://psearch.kitsapgov.com/webappa/index.html?parcelID=2681146&amp;Theme=Imagery","2681146")</f>
        <v>2681146</v>
      </c>
      <c r="G540" s="37" t="s">
        <v>3019</v>
      </c>
      <c r="H540" s="38">
        <v>45092</v>
      </c>
      <c r="I540" s="39">
        <v>14250000</v>
      </c>
      <c r="J540" s="40">
        <v>0</v>
      </c>
      <c r="K540" s="37" t="s">
        <v>109</v>
      </c>
      <c r="L540" s="37" t="s">
        <v>4517</v>
      </c>
      <c r="M540" s="37" t="s">
        <v>5706</v>
      </c>
      <c r="N540" s="37" t="s">
        <v>5707</v>
      </c>
    </row>
    <row r="541" spans="1:14" ht="20.100000000000001" customHeight="1" x14ac:dyDescent="0.25">
      <c r="A541" s="36" t="s">
        <v>5703</v>
      </c>
      <c r="B541" s="37" t="s">
        <v>4634</v>
      </c>
      <c r="C541" s="36">
        <v>7100580</v>
      </c>
      <c r="D541" s="37" t="s">
        <v>5704</v>
      </c>
      <c r="E541" s="36" t="s">
        <v>5727</v>
      </c>
      <c r="F541" s="21" t="str">
        <f>HYPERLINK("https://psearch.kitsapgov.com/webappa/index.html?parcelID=2681153&amp;Theme=Imagery","2681153")</f>
        <v>2681153</v>
      </c>
      <c r="G541" s="37" t="s">
        <v>3019</v>
      </c>
      <c r="H541" s="38">
        <v>45092</v>
      </c>
      <c r="I541" s="39">
        <v>14250000</v>
      </c>
      <c r="J541" s="40">
        <v>0</v>
      </c>
      <c r="K541" s="37" t="s">
        <v>109</v>
      </c>
      <c r="L541" s="37" t="s">
        <v>4517</v>
      </c>
      <c r="M541" s="37" t="s">
        <v>5706</v>
      </c>
      <c r="N541" s="37" t="s">
        <v>5707</v>
      </c>
    </row>
    <row r="542" spans="1:14" ht="20.100000000000001" customHeight="1" x14ac:dyDescent="0.25">
      <c r="A542" s="36" t="s">
        <v>5703</v>
      </c>
      <c r="B542" s="37" t="s">
        <v>4634</v>
      </c>
      <c r="C542" s="36">
        <v>7100580</v>
      </c>
      <c r="D542" s="37" t="s">
        <v>5704</v>
      </c>
      <c r="E542" s="36" t="s">
        <v>5728</v>
      </c>
      <c r="F542" s="21" t="str">
        <f>HYPERLINK("https://psearch.kitsapgov.com/webappa/index.html?parcelID=2681161&amp;Theme=Imagery","2681161")</f>
        <v>2681161</v>
      </c>
      <c r="G542" s="37" t="s">
        <v>3019</v>
      </c>
      <c r="H542" s="38">
        <v>45092</v>
      </c>
      <c r="I542" s="39">
        <v>14250000</v>
      </c>
      <c r="J542" s="40">
        <v>0</v>
      </c>
      <c r="K542" s="37" t="s">
        <v>109</v>
      </c>
      <c r="L542" s="37" t="s">
        <v>4517</v>
      </c>
      <c r="M542" s="37" t="s">
        <v>5706</v>
      </c>
      <c r="N542" s="37" t="s">
        <v>5707</v>
      </c>
    </row>
    <row r="543" spans="1:14" ht="20.100000000000001" customHeight="1" x14ac:dyDescent="0.25">
      <c r="A543" s="36" t="s">
        <v>5703</v>
      </c>
      <c r="B543" s="37" t="s">
        <v>4634</v>
      </c>
      <c r="C543" s="36">
        <v>7100580</v>
      </c>
      <c r="D543" s="37" t="s">
        <v>5704</v>
      </c>
      <c r="E543" s="36" t="s">
        <v>5729</v>
      </c>
      <c r="F543" s="21" t="str">
        <f>HYPERLINK("https://psearch.kitsapgov.com/webappa/index.html?parcelID=2681179&amp;Theme=Imagery","2681179")</f>
        <v>2681179</v>
      </c>
      <c r="G543" s="37" t="s">
        <v>3019</v>
      </c>
      <c r="H543" s="38">
        <v>45092</v>
      </c>
      <c r="I543" s="39">
        <v>14250000</v>
      </c>
      <c r="J543" s="40">
        <v>0</v>
      </c>
      <c r="K543" s="37" t="s">
        <v>109</v>
      </c>
      <c r="L543" s="37" t="s">
        <v>4517</v>
      </c>
      <c r="M543" s="37" t="s">
        <v>5706</v>
      </c>
      <c r="N543" s="37" t="s">
        <v>5707</v>
      </c>
    </row>
    <row r="544" spans="1:14" ht="39.950000000000003" customHeight="1" x14ac:dyDescent="0.25">
      <c r="A544" s="36" t="s">
        <v>5730</v>
      </c>
      <c r="B544" s="37" t="s">
        <v>834</v>
      </c>
      <c r="C544" s="36">
        <v>8100510</v>
      </c>
      <c r="D544" s="37" t="s">
        <v>106</v>
      </c>
      <c r="E544" s="36" t="s">
        <v>5731</v>
      </c>
      <c r="F544" s="21" t="str">
        <f>HYPERLINK("https://psearch.kitsapgov.com/webappa/index.html?parcelID=1439157&amp;Theme=Imagery","1439157")</f>
        <v>1439157</v>
      </c>
      <c r="G544" s="37" t="s">
        <v>5732</v>
      </c>
      <c r="H544" s="38">
        <v>45134</v>
      </c>
      <c r="I544" s="39">
        <v>680000</v>
      </c>
      <c r="J544" s="40">
        <v>0.14000000000000001</v>
      </c>
      <c r="K544" s="37" t="s">
        <v>109</v>
      </c>
      <c r="L544" s="37" t="s">
        <v>29</v>
      </c>
      <c r="M544" s="37" t="s">
        <v>5733</v>
      </c>
      <c r="N544" s="37" t="s">
        <v>5734</v>
      </c>
    </row>
    <row r="545" spans="1:14" ht="20.100000000000001" customHeight="1" x14ac:dyDescent="0.25">
      <c r="A545" s="36" t="s">
        <v>5730</v>
      </c>
      <c r="B545" s="37" t="s">
        <v>105</v>
      </c>
      <c r="C545" s="36">
        <v>8100510</v>
      </c>
      <c r="D545" s="37" t="s">
        <v>106</v>
      </c>
      <c r="E545" s="36" t="s">
        <v>5735</v>
      </c>
      <c r="F545" s="21" t="str">
        <f>HYPERLINK("https://psearch.kitsapgov.com/webappa/index.html?parcelID=1439165&amp;Theme=Imagery","1439165")</f>
        <v>1439165</v>
      </c>
      <c r="G545" s="37" t="s">
        <v>5736</v>
      </c>
      <c r="H545" s="38">
        <v>45134</v>
      </c>
      <c r="I545" s="39">
        <v>680000</v>
      </c>
      <c r="J545" s="40">
        <v>0.15</v>
      </c>
      <c r="K545" s="37" t="s">
        <v>109</v>
      </c>
      <c r="L545" s="37" t="s">
        <v>29</v>
      </c>
      <c r="M545" s="37" t="s">
        <v>5733</v>
      </c>
      <c r="N545" s="37" t="s">
        <v>5734</v>
      </c>
    </row>
    <row r="546" spans="1:14" ht="39.950000000000003" customHeight="1" x14ac:dyDescent="0.25">
      <c r="A546" s="36" t="s">
        <v>5737</v>
      </c>
      <c r="B546" s="37" t="s">
        <v>209</v>
      </c>
      <c r="C546" s="36">
        <v>8400203</v>
      </c>
      <c r="D546" s="37" t="s">
        <v>353</v>
      </c>
      <c r="E546" s="36" t="s">
        <v>5738</v>
      </c>
      <c r="F546" s="21" t="str">
        <f>HYPERLINK("https://psearch.kitsapgov.com/webappa/index.html?parcelID=1995000&amp;Theme=Imagery","1995000")</f>
        <v>1995000</v>
      </c>
      <c r="G546" s="37" t="s">
        <v>5739</v>
      </c>
      <c r="H546" s="38">
        <v>45135</v>
      </c>
      <c r="I546" s="39">
        <v>450000</v>
      </c>
      <c r="J546" s="40">
        <v>0.32</v>
      </c>
      <c r="K546" s="37" t="s">
        <v>356</v>
      </c>
      <c r="L546" s="37" t="s">
        <v>920</v>
      </c>
      <c r="M546" s="37" t="s">
        <v>5740</v>
      </c>
      <c r="N546" s="37" t="s">
        <v>5741</v>
      </c>
    </row>
    <row r="547" spans="1:14" ht="20.100000000000001" customHeight="1" x14ac:dyDescent="0.25">
      <c r="A547" s="36" t="s">
        <v>5737</v>
      </c>
      <c r="B547" s="37" t="s">
        <v>105</v>
      </c>
      <c r="C547" s="36">
        <v>9400203</v>
      </c>
      <c r="D547" s="37" t="s">
        <v>49</v>
      </c>
      <c r="E547" s="36" t="s">
        <v>5742</v>
      </c>
      <c r="F547" s="21" t="str">
        <f>HYPERLINK("https://psearch.kitsapgov.com/webappa/index.html?parcelID=1995018&amp;Theme=Imagery","1995018")</f>
        <v>1995018</v>
      </c>
      <c r="G547" s="37" t="s">
        <v>5743</v>
      </c>
      <c r="H547" s="38">
        <v>45135</v>
      </c>
      <c r="I547" s="39">
        <v>450000</v>
      </c>
      <c r="J547" s="40">
        <v>0.18</v>
      </c>
      <c r="K547" s="37" t="s">
        <v>115</v>
      </c>
      <c r="L547" s="37" t="s">
        <v>920</v>
      </c>
      <c r="M547" s="37" t="s">
        <v>5740</v>
      </c>
      <c r="N547" s="37" t="s">
        <v>5741</v>
      </c>
    </row>
    <row r="548" spans="1:14" ht="39.950000000000003" customHeight="1" x14ac:dyDescent="0.25">
      <c r="A548" s="36" t="s">
        <v>5744</v>
      </c>
      <c r="B548" s="37" t="s">
        <v>1044</v>
      </c>
      <c r="C548" s="36">
        <v>9100542</v>
      </c>
      <c r="D548" s="37" t="s">
        <v>360</v>
      </c>
      <c r="E548" s="36" t="s">
        <v>5745</v>
      </c>
      <c r="F548" s="21" t="str">
        <f>HYPERLINK("https://psearch.kitsapgov.com/webappa/index.html?parcelID=1490283&amp;Theme=Imagery","1490283")</f>
        <v>1490283</v>
      </c>
      <c r="G548" s="37" t="s">
        <v>5746</v>
      </c>
      <c r="H548" s="38">
        <v>45133</v>
      </c>
      <c r="I548" s="39">
        <v>11259254</v>
      </c>
      <c r="J548" s="40">
        <v>4.6100000000000003</v>
      </c>
      <c r="K548" s="37" t="s">
        <v>814</v>
      </c>
      <c r="L548" s="37" t="s">
        <v>38</v>
      </c>
      <c r="M548" s="37" t="s">
        <v>5747</v>
      </c>
      <c r="N548" s="37" t="s">
        <v>5748</v>
      </c>
    </row>
    <row r="549" spans="1:14" ht="39.950000000000003" customHeight="1" x14ac:dyDescent="0.25">
      <c r="A549" s="36" t="s">
        <v>5749</v>
      </c>
      <c r="B549" s="37" t="s">
        <v>765</v>
      </c>
      <c r="C549" s="36">
        <v>9402390</v>
      </c>
      <c r="D549" s="37" t="s">
        <v>173</v>
      </c>
      <c r="E549" s="36" t="s">
        <v>5750</v>
      </c>
      <c r="F549" s="21" t="str">
        <f>HYPERLINK("https://psearch.kitsapgov.com/webappa/index.html?parcelID=1038462&amp;Theme=Imagery","1038462")</f>
        <v>1038462</v>
      </c>
      <c r="G549" s="37" t="s">
        <v>5751</v>
      </c>
      <c r="H549" s="38">
        <v>45133</v>
      </c>
      <c r="I549" s="39">
        <v>15627248</v>
      </c>
      <c r="J549" s="40">
        <v>2.54</v>
      </c>
      <c r="K549" s="37" t="s">
        <v>874</v>
      </c>
      <c r="L549" s="37" t="s">
        <v>4517</v>
      </c>
      <c r="M549" s="37" t="s">
        <v>5752</v>
      </c>
      <c r="N549" s="37" t="s">
        <v>5753</v>
      </c>
    </row>
    <row r="550" spans="1:14" ht="20.100000000000001" customHeight="1" x14ac:dyDescent="0.25">
      <c r="A550" s="36" t="s">
        <v>5749</v>
      </c>
      <c r="B550" s="37" t="s">
        <v>1044</v>
      </c>
      <c r="C550" s="36">
        <v>9402390</v>
      </c>
      <c r="D550" s="37" t="s">
        <v>173</v>
      </c>
      <c r="E550" s="36" t="s">
        <v>5754</v>
      </c>
      <c r="F550" s="21" t="str">
        <f>HYPERLINK("https://psearch.kitsapgov.com/webappa/index.html?parcelID=1038470&amp;Theme=Imagery","1038470")</f>
        <v>1038470</v>
      </c>
      <c r="G550" s="37" t="s">
        <v>5755</v>
      </c>
      <c r="H550" s="38">
        <v>45133</v>
      </c>
      <c r="I550" s="39">
        <v>15627248</v>
      </c>
      <c r="J550" s="40">
        <v>2.91</v>
      </c>
      <c r="K550" s="37" t="s">
        <v>874</v>
      </c>
      <c r="L550" s="37" t="s">
        <v>4517</v>
      </c>
      <c r="M550" s="37" t="s">
        <v>5752</v>
      </c>
      <c r="N550" s="37" t="s">
        <v>5753</v>
      </c>
    </row>
    <row r="551" spans="1:14" ht="20.100000000000001" customHeight="1" x14ac:dyDescent="0.25">
      <c r="A551" s="36" t="s">
        <v>5749</v>
      </c>
      <c r="B551" s="37" t="s">
        <v>1044</v>
      </c>
      <c r="C551" s="36">
        <v>8402307</v>
      </c>
      <c r="D551" s="37" t="s">
        <v>131</v>
      </c>
      <c r="E551" s="36" t="s">
        <v>5756</v>
      </c>
      <c r="F551" s="21" t="str">
        <f>HYPERLINK("https://psearch.kitsapgov.com/webappa/index.html?parcelID=2278836&amp;Theme=Imagery","2278836")</f>
        <v>2278836</v>
      </c>
      <c r="G551" s="37" t="s">
        <v>5757</v>
      </c>
      <c r="H551" s="38">
        <v>45133</v>
      </c>
      <c r="I551" s="39">
        <v>15627248</v>
      </c>
      <c r="J551" s="40">
        <v>0</v>
      </c>
      <c r="L551" s="37" t="s">
        <v>4517</v>
      </c>
      <c r="M551" s="37" t="s">
        <v>5752</v>
      </c>
      <c r="N551" s="37" t="s">
        <v>5753</v>
      </c>
    </row>
    <row r="552" spans="1:14" ht="39.950000000000003" customHeight="1" x14ac:dyDescent="0.25">
      <c r="A552" s="36" t="s">
        <v>5758</v>
      </c>
      <c r="B552" s="37" t="s">
        <v>3685</v>
      </c>
      <c r="C552" s="36">
        <v>8400202</v>
      </c>
      <c r="D552" s="37" t="s">
        <v>440</v>
      </c>
      <c r="E552" s="36" t="s">
        <v>5759</v>
      </c>
      <c r="F552" s="21" t="str">
        <f>HYPERLINK("https://psearch.kitsapgov.com/webappa/index.html?parcelID=2506012&amp;Theme=Imagery","2506012")</f>
        <v>2506012</v>
      </c>
      <c r="G552" s="37" t="s">
        <v>5760</v>
      </c>
      <c r="H552" s="38">
        <v>45153</v>
      </c>
      <c r="I552" s="39">
        <v>1240000</v>
      </c>
      <c r="J552" s="40">
        <v>1.01</v>
      </c>
      <c r="K552" s="37" t="s">
        <v>443</v>
      </c>
      <c r="L552" s="37" t="s">
        <v>4552</v>
      </c>
      <c r="M552" s="37" t="s">
        <v>5761</v>
      </c>
      <c r="N552" s="37" t="s">
        <v>3156</v>
      </c>
    </row>
    <row r="553" spans="1:14" ht="20.100000000000001" customHeight="1" x14ac:dyDescent="0.25">
      <c r="A553" s="36" t="s">
        <v>5758</v>
      </c>
      <c r="B553" s="37" t="s">
        <v>16</v>
      </c>
      <c r="C553" s="36">
        <v>8400202</v>
      </c>
      <c r="D553" s="37" t="s">
        <v>440</v>
      </c>
      <c r="E553" s="36" t="s">
        <v>5762</v>
      </c>
      <c r="F553" s="21" t="str">
        <f>HYPERLINK("https://psearch.kitsapgov.com/webappa/index.html?parcelID=2505980&amp;Theme=Imagery","2505980")</f>
        <v>2505980</v>
      </c>
      <c r="G553" s="37" t="s">
        <v>5763</v>
      </c>
      <c r="H553" s="38">
        <v>45153</v>
      </c>
      <c r="I553" s="39">
        <v>1240000</v>
      </c>
      <c r="J553" s="40">
        <v>0</v>
      </c>
      <c r="L553" s="37" t="s">
        <v>4552</v>
      </c>
      <c r="M553" s="37" t="s">
        <v>5761</v>
      </c>
      <c r="N553" s="37" t="s">
        <v>3156</v>
      </c>
    </row>
    <row r="554" spans="1:14" ht="20.100000000000001" customHeight="1" x14ac:dyDescent="0.25">
      <c r="A554" s="36" t="s">
        <v>5758</v>
      </c>
      <c r="B554" s="37" t="s">
        <v>16</v>
      </c>
      <c r="C554" s="36">
        <v>8400202</v>
      </c>
      <c r="D554" s="37" t="s">
        <v>440</v>
      </c>
      <c r="E554" s="36" t="s">
        <v>5764</v>
      </c>
      <c r="F554" s="21" t="str">
        <f>HYPERLINK("https://psearch.kitsapgov.com/webappa/index.html?parcelID=2505998&amp;Theme=Imagery","2505998")</f>
        <v>2505998</v>
      </c>
      <c r="G554" s="37" t="s">
        <v>5765</v>
      </c>
      <c r="H554" s="38">
        <v>45153</v>
      </c>
      <c r="I554" s="39">
        <v>1240000</v>
      </c>
      <c r="J554" s="40">
        <v>0</v>
      </c>
      <c r="L554" s="37" t="s">
        <v>4552</v>
      </c>
      <c r="M554" s="37" t="s">
        <v>5761</v>
      </c>
      <c r="N554" s="37" t="s">
        <v>3156</v>
      </c>
    </row>
    <row r="555" spans="1:14" ht="20.100000000000001" customHeight="1" x14ac:dyDescent="0.25">
      <c r="A555" s="36" t="s">
        <v>5758</v>
      </c>
      <c r="B555" s="37" t="s">
        <v>16</v>
      </c>
      <c r="C555" s="36">
        <v>8400202</v>
      </c>
      <c r="D555" s="37" t="s">
        <v>440</v>
      </c>
      <c r="E555" s="36" t="s">
        <v>5766</v>
      </c>
      <c r="F555" s="21" t="str">
        <f>HYPERLINK("https://psearch.kitsapgov.com/webappa/index.html?parcelID=2506004&amp;Theme=Imagery","2506004")</f>
        <v>2506004</v>
      </c>
      <c r="G555" s="37" t="s">
        <v>5767</v>
      </c>
      <c r="H555" s="38">
        <v>45153</v>
      </c>
      <c r="I555" s="39">
        <v>1240000</v>
      </c>
      <c r="J555" s="40">
        <v>0</v>
      </c>
      <c r="L555" s="37" t="s">
        <v>4552</v>
      </c>
      <c r="M555" s="37" t="s">
        <v>5761</v>
      </c>
      <c r="N555" s="37" t="s">
        <v>3156</v>
      </c>
    </row>
    <row r="556" spans="1:14" ht="39.950000000000003" customHeight="1" x14ac:dyDescent="0.25">
      <c r="A556" s="36" t="s">
        <v>5768</v>
      </c>
      <c r="B556" s="37" t="s">
        <v>1026</v>
      </c>
      <c r="C556" s="36">
        <v>8401104</v>
      </c>
      <c r="D556" s="37" t="s">
        <v>241</v>
      </c>
      <c r="E556" s="36" t="s">
        <v>5547</v>
      </c>
      <c r="F556" s="21" t="str">
        <f>HYPERLINK("https://psearch.kitsapgov.com/webappa/index.html?parcelID=2637825&amp;Theme=Imagery","2637825")</f>
        <v>2637825</v>
      </c>
      <c r="G556" s="37" t="s">
        <v>5548</v>
      </c>
      <c r="H556" s="38">
        <v>45148</v>
      </c>
      <c r="I556" s="39">
        <v>27500000</v>
      </c>
      <c r="J556" s="40">
        <v>80.5</v>
      </c>
      <c r="K556" s="37" t="s">
        <v>492</v>
      </c>
      <c r="L556" s="37" t="s">
        <v>4517</v>
      </c>
      <c r="M556" s="37" t="s">
        <v>5769</v>
      </c>
      <c r="N556" s="37" t="s">
        <v>5770</v>
      </c>
    </row>
    <row r="557" spans="1:14" ht="20.100000000000001" customHeight="1" x14ac:dyDescent="0.25">
      <c r="A557" s="36" t="s">
        <v>5768</v>
      </c>
      <c r="B557" s="37" t="s">
        <v>105</v>
      </c>
      <c r="C557" s="36">
        <v>8401104</v>
      </c>
      <c r="D557" s="37" t="s">
        <v>241</v>
      </c>
      <c r="E557" s="36" t="s">
        <v>5043</v>
      </c>
      <c r="F557" s="21" t="str">
        <f>HYPERLINK("https://psearch.kitsapgov.com/webappa/index.html?parcelID=2048379&amp;Theme=Imagery","2048379")</f>
        <v>2048379</v>
      </c>
      <c r="G557" s="37" t="s">
        <v>5044</v>
      </c>
      <c r="H557" s="38">
        <v>45148</v>
      </c>
      <c r="I557" s="39">
        <v>27500000</v>
      </c>
      <c r="J557" s="40">
        <v>9.69</v>
      </c>
      <c r="K557" s="37" t="s">
        <v>492</v>
      </c>
      <c r="L557" s="37" t="s">
        <v>4517</v>
      </c>
      <c r="M557" s="37" t="s">
        <v>5769</v>
      </c>
      <c r="N557" s="37" t="s">
        <v>5770</v>
      </c>
    </row>
    <row r="558" spans="1:14" ht="20.100000000000001" customHeight="1" x14ac:dyDescent="0.25">
      <c r="A558" s="36" t="s">
        <v>5768</v>
      </c>
      <c r="B558" s="37" t="s">
        <v>105</v>
      </c>
      <c r="C558" s="36">
        <v>8401104</v>
      </c>
      <c r="D558" s="37" t="s">
        <v>241</v>
      </c>
      <c r="E558" s="36" t="s">
        <v>2743</v>
      </c>
      <c r="F558" s="21" t="str">
        <f>HYPERLINK("https://psearch.kitsapgov.com/webappa/index.html?parcelID=1243815&amp;Theme=Imagery","1243815")</f>
        <v>1243815</v>
      </c>
      <c r="G558" s="37" t="s">
        <v>2744</v>
      </c>
      <c r="H558" s="38">
        <v>45148</v>
      </c>
      <c r="I558" s="39">
        <v>27500000</v>
      </c>
      <c r="J558" s="40">
        <v>4.87</v>
      </c>
      <c r="K558" s="37" t="s">
        <v>492</v>
      </c>
      <c r="L558" s="37" t="s">
        <v>4517</v>
      </c>
      <c r="M558" s="37" t="s">
        <v>5769</v>
      </c>
      <c r="N558" s="37" t="s">
        <v>5770</v>
      </c>
    </row>
    <row r="559" spans="1:14" ht="20.100000000000001" customHeight="1" x14ac:dyDescent="0.25">
      <c r="A559" s="36" t="s">
        <v>5768</v>
      </c>
      <c r="B559" s="37" t="s">
        <v>105</v>
      </c>
      <c r="C559" s="36">
        <v>8401104</v>
      </c>
      <c r="D559" s="37" t="s">
        <v>241</v>
      </c>
      <c r="E559" s="36" t="s">
        <v>5047</v>
      </c>
      <c r="F559" s="21" t="str">
        <f>HYPERLINK("https://psearch.kitsapgov.com/webappa/index.html?parcelID=2637809&amp;Theme=Imagery","2637809")</f>
        <v>2637809</v>
      </c>
      <c r="G559" s="37" t="s">
        <v>5048</v>
      </c>
      <c r="H559" s="38">
        <v>45148</v>
      </c>
      <c r="I559" s="39">
        <v>27500000</v>
      </c>
      <c r="J559" s="40">
        <v>19.48</v>
      </c>
      <c r="K559" s="37" t="s">
        <v>492</v>
      </c>
      <c r="L559" s="37" t="s">
        <v>4517</v>
      </c>
      <c r="M559" s="37" t="s">
        <v>5769</v>
      </c>
      <c r="N559" s="37" t="s">
        <v>5770</v>
      </c>
    </row>
    <row r="560" spans="1:14" ht="20.100000000000001" customHeight="1" x14ac:dyDescent="0.25">
      <c r="A560" s="36" t="s">
        <v>5768</v>
      </c>
      <c r="B560" s="37" t="s">
        <v>105</v>
      </c>
      <c r="C560" s="36">
        <v>8401104</v>
      </c>
      <c r="D560" s="37" t="s">
        <v>241</v>
      </c>
      <c r="E560" s="36" t="s">
        <v>5551</v>
      </c>
      <c r="F560" s="21" t="str">
        <f>HYPERLINK("https://psearch.kitsapgov.com/webappa/index.html?parcelID=1244235&amp;Theme=Imagery","1244235")</f>
        <v>1244235</v>
      </c>
      <c r="G560" s="37" t="s">
        <v>5552</v>
      </c>
      <c r="H560" s="38">
        <v>45148</v>
      </c>
      <c r="I560" s="39">
        <v>27500000</v>
      </c>
      <c r="J560" s="40">
        <v>9.5</v>
      </c>
      <c r="K560" s="37" t="s">
        <v>492</v>
      </c>
      <c r="L560" s="37" t="s">
        <v>4517</v>
      </c>
      <c r="M560" s="37" t="s">
        <v>5769</v>
      </c>
      <c r="N560" s="37" t="s">
        <v>5770</v>
      </c>
    </row>
    <row r="561" spans="1:14" ht="20.100000000000001" customHeight="1" x14ac:dyDescent="0.25">
      <c r="A561" s="36" t="s">
        <v>5768</v>
      </c>
      <c r="B561" s="37" t="s">
        <v>105</v>
      </c>
      <c r="C561" s="36">
        <v>8401104</v>
      </c>
      <c r="D561" s="37" t="s">
        <v>241</v>
      </c>
      <c r="E561" s="36" t="s">
        <v>5553</v>
      </c>
      <c r="F561" s="21" t="str">
        <f>HYPERLINK("https://psearch.kitsapgov.com/webappa/index.html?parcelID=1244250&amp;Theme=Imagery","1244250")</f>
        <v>1244250</v>
      </c>
      <c r="G561" s="37" t="s">
        <v>5552</v>
      </c>
      <c r="H561" s="38">
        <v>45148</v>
      </c>
      <c r="I561" s="39">
        <v>27500000</v>
      </c>
      <c r="J561" s="40">
        <v>19.28</v>
      </c>
      <c r="K561" s="37" t="s">
        <v>492</v>
      </c>
      <c r="L561" s="37" t="s">
        <v>4517</v>
      </c>
      <c r="M561" s="37" t="s">
        <v>5769</v>
      </c>
      <c r="N561" s="37" t="s">
        <v>5770</v>
      </c>
    </row>
    <row r="562" spans="1:14" ht="39.950000000000003" customHeight="1" x14ac:dyDescent="0.25">
      <c r="A562" s="36" t="s">
        <v>5771</v>
      </c>
      <c r="B562" s="37" t="s">
        <v>78</v>
      </c>
      <c r="C562" s="36">
        <v>8400201</v>
      </c>
      <c r="D562" s="37" t="s">
        <v>496</v>
      </c>
      <c r="E562" s="36" t="s">
        <v>5772</v>
      </c>
      <c r="F562" s="21" t="str">
        <f>HYPERLINK("https://psearch.kitsapgov.com/webappa/index.html?parcelID=1550300&amp;Theme=Imagery","1550300")</f>
        <v>1550300</v>
      </c>
      <c r="G562" s="37" t="s">
        <v>5773</v>
      </c>
      <c r="H562" s="38">
        <v>45177</v>
      </c>
      <c r="I562" s="39">
        <v>600000</v>
      </c>
      <c r="J562" s="40">
        <v>0.13</v>
      </c>
      <c r="K562" s="37" t="s">
        <v>499</v>
      </c>
      <c r="L562" s="37" t="s">
        <v>4517</v>
      </c>
      <c r="M562" s="37" t="s">
        <v>5774</v>
      </c>
      <c r="N562" s="37" t="s">
        <v>5775</v>
      </c>
    </row>
    <row r="563" spans="1:14" ht="20.100000000000001" customHeight="1" x14ac:dyDescent="0.25">
      <c r="A563" s="36" t="s">
        <v>5771</v>
      </c>
      <c r="B563" s="37" t="s">
        <v>78</v>
      </c>
      <c r="C563" s="36">
        <v>8400201</v>
      </c>
      <c r="D563" s="37" t="s">
        <v>496</v>
      </c>
      <c r="E563" s="36" t="s">
        <v>5776</v>
      </c>
      <c r="F563" s="21" t="str">
        <f>HYPERLINK("https://psearch.kitsapgov.com/webappa/index.html?parcelID=1550318&amp;Theme=Imagery","1550318")</f>
        <v>1550318</v>
      </c>
      <c r="G563" s="37" t="s">
        <v>5777</v>
      </c>
      <c r="H563" s="38">
        <v>45177</v>
      </c>
      <c r="I563" s="39">
        <v>600000</v>
      </c>
      <c r="J563" s="40">
        <v>0.13</v>
      </c>
      <c r="K563" s="37" t="s">
        <v>499</v>
      </c>
      <c r="L563" s="37" t="s">
        <v>4517</v>
      </c>
      <c r="M563" s="37" t="s">
        <v>5774</v>
      </c>
      <c r="N563" s="37" t="s">
        <v>5775</v>
      </c>
    </row>
    <row r="564" spans="1:14" ht="39.950000000000003" customHeight="1" x14ac:dyDescent="0.25">
      <c r="A564" s="36" t="s">
        <v>5778</v>
      </c>
      <c r="B564" s="37" t="s">
        <v>3760</v>
      </c>
      <c r="C564" s="36">
        <v>8400302</v>
      </c>
      <c r="D564" s="37" t="s">
        <v>397</v>
      </c>
      <c r="E564" s="36" t="s">
        <v>5779</v>
      </c>
      <c r="F564" s="21" t="str">
        <f>HYPERLINK("https://psearch.kitsapgov.com/webappa/index.html?parcelID=2320588&amp;Theme=Imagery","2320588")</f>
        <v>2320588</v>
      </c>
      <c r="G564" s="37" t="s">
        <v>5780</v>
      </c>
      <c r="H564" s="38">
        <v>45176</v>
      </c>
      <c r="I564" s="39">
        <v>1750000</v>
      </c>
      <c r="J564" s="40">
        <v>9.73</v>
      </c>
      <c r="K564" s="37" t="s">
        <v>343</v>
      </c>
      <c r="L564" s="37" t="s">
        <v>2587</v>
      </c>
      <c r="M564" s="37" t="s">
        <v>5781</v>
      </c>
      <c r="N564" s="37" t="s">
        <v>5782</v>
      </c>
    </row>
    <row r="565" spans="1:14" ht="20.100000000000001" customHeight="1" x14ac:dyDescent="0.25">
      <c r="A565" s="36" t="s">
        <v>5778</v>
      </c>
      <c r="B565" s="37" t="s">
        <v>3760</v>
      </c>
      <c r="C565" s="36">
        <v>8400302</v>
      </c>
      <c r="D565" s="37" t="s">
        <v>397</v>
      </c>
      <c r="E565" s="36" t="s">
        <v>5783</v>
      </c>
      <c r="F565" s="21" t="str">
        <f>HYPERLINK("https://psearch.kitsapgov.com/webappa/index.html?parcelID=2320596&amp;Theme=Imagery","2320596")</f>
        <v>2320596</v>
      </c>
      <c r="G565" s="37" t="s">
        <v>5780</v>
      </c>
      <c r="H565" s="38">
        <v>45176</v>
      </c>
      <c r="I565" s="39">
        <v>1750000</v>
      </c>
      <c r="J565" s="40">
        <v>4.67</v>
      </c>
      <c r="K565" s="37" t="s">
        <v>343</v>
      </c>
      <c r="L565" s="37" t="s">
        <v>2587</v>
      </c>
      <c r="M565" s="37" t="s">
        <v>5781</v>
      </c>
      <c r="N565" s="37" t="s">
        <v>5782</v>
      </c>
    </row>
    <row r="566" spans="1:14" ht="39.950000000000003" customHeight="1" x14ac:dyDescent="0.25">
      <c r="A566" s="36" t="s">
        <v>5784</v>
      </c>
      <c r="B566" s="37" t="s">
        <v>317</v>
      </c>
      <c r="C566" s="36">
        <v>8402408</v>
      </c>
      <c r="D566" s="37" t="s">
        <v>160</v>
      </c>
      <c r="E566" s="36" t="s">
        <v>5785</v>
      </c>
      <c r="F566" s="21" t="str">
        <f>HYPERLINK("https://psearch.kitsapgov.com/webappa/index.html?parcelID=1167998&amp;Theme=Imagery","1167998")</f>
        <v>1167998</v>
      </c>
      <c r="G566" s="37" t="s">
        <v>5786</v>
      </c>
      <c r="H566" s="38">
        <v>45195</v>
      </c>
      <c r="I566" s="39">
        <v>375000</v>
      </c>
      <c r="J566" s="40">
        <v>0.63</v>
      </c>
      <c r="K566" s="37" t="s">
        <v>37</v>
      </c>
      <c r="L566" s="37" t="s">
        <v>38</v>
      </c>
      <c r="M566" s="37" t="s">
        <v>5787</v>
      </c>
      <c r="N566" s="37" t="s">
        <v>5788</v>
      </c>
    </row>
    <row r="567" spans="1:14" ht="20.100000000000001" customHeight="1" x14ac:dyDescent="0.25">
      <c r="A567" s="36" t="s">
        <v>5784</v>
      </c>
      <c r="B567" s="37" t="s">
        <v>105</v>
      </c>
      <c r="C567" s="36">
        <v>8402408</v>
      </c>
      <c r="D567" s="37" t="s">
        <v>160</v>
      </c>
      <c r="E567" s="36" t="s">
        <v>5789</v>
      </c>
      <c r="F567" s="21" t="str">
        <f>HYPERLINK("https://psearch.kitsapgov.com/webappa/index.html?parcelID=2406692&amp;Theme=Imagery","2406692")</f>
        <v>2406692</v>
      </c>
      <c r="G567" s="37" t="s">
        <v>5790</v>
      </c>
      <c r="H567" s="38">
        <v>45195</v>
      </c>
      <c r="I567" s="39">
        <v>375000</v>
      </c>
      <c r="J567" s="40">
        <v>0.68</v>
      </c>
      <c r="K567" s="37" t="s">
        <v>492</v>
      </c>
      <c r="L567" s="37" t="s">
        <v>38</v>
      </c>
      <c r="M567" s="37" t="s">
        <v>5787</v>
      </c>
      <c r="N567" s="37" t="s">
        <v>5788</v>
      </c>
    </row>
    <row r="568" spans="1:14" ht="39.950000000000003" customHeight="1" x14ac:dyDescent="0.25">
      <c r="A568" s="36" t="s">
        <v>5791</v>
      </c>
      <c r="B568" s="37" t="s">
        <v>78</v>
      </c>
      <c r="C568" s="36">
        <v>7402395</v>
      </c>
      <c r="D568" s="37" t="s">
        <v>5792</v>
      </c>
      <c r="E568" s="36" t="s">
        <v>5793</v>
      </c>
      <c r="F568" s="21" t="str">
        <f>HYPERLINK("https://psearch.kitsapgov.com/webappa/index.html?parcelID=1929603&amp;Theme=Imagery","1929603")</f>
        <v>1929603</v>
      </c>
      <c r="G568" s="37" t="s">
        <v>3019</v>
      </c>
      <c r="H568" s="38">
        <v>45208</v>
      </c>
      <c r="I568" s="39">
        <v>1030000</v>
      </c>
      <c r="J568" s="40">
        <v>7.24</v>
      </c>
      <c r="K568" s="37" t="s">
        <v>5794</v>
      </c>
      <c r="L568" s="37" t="s">
        <v>213</v>
      </c>
      <c r="M568" s="37" t="s">
        <v>5795</v>
      </c>
      <c r="N568" s="37" t="s">
        <v>5796</v>
      </c>
    </row>
    <row r="569" spans="1:14" ht="20.100000000000001" customHeight="1" x14ac:dyDescent="0.25">
      <c r="A569" s="36" t="s">
        <v>5791</v>
      </c>
      <c r="B569" s="37" t="s">
        <v>105</v>
      </c>
      <c r="C569" s="36">
        <v>8402305</v>
      </c>
      <c r="D569" s="37" t="s">
        <v>452</v>
      </c>
      <c r="E569" s="36" t="s">
        <v>5797</v>
      </c>
      <c r="F569" s="21" t="str">
        <f>HYPERLINK("https://psearch.kitsapgov.com/webappa/index.html?parcelID=1929611&amp;Theme=Imagery","1929611")</f>
        <v>1929611</v>
      </c>
      <c r="G569" s="37" t="s">
        <v>5798</v>
      </c>
      <c r="H569" s="38">
        <v>45208</v>
      </c>
      <c r="I569" s="39">
        <v>1030000</v>
      </c>
      <c r="J569" s="40">
        <v>0.08</v>
      </c>
      <c r="K569" s="37" t="s">
        <v>880</v>
      </c>
      <c r="L569" s="37" t="s">
        <v>213</v>
      </c>
      <c r="M569" s="37" t="s">
        <v>5795</v>
      </c>
      <c r="N569" s="37" t="s">
        <v>5796</v>
      </c>
    </row>
    <row r="570" spans="1:14" ht="20.100000000000001" customHeight="1" x14ac:dyDescent="0.25">
      <c r="A570" s="36" t="s">
        <v>5791</v>
      </c>
      <c r="B570" s="37" t="s">
        <v>105</v>
      </c>
      <c r="C570" s="36">
        <v>7402395</v>
      </c>
      <c r="D570" s="37" t="s">
        <v>5792</v>
      </c>
      <c r="E570" s="36" t="s">
        <v>5799</v>
      </c>
      <c r="F570" s="21" t="str">
        <f>HYPERLINK("https://psearch.kitsapgov.com/webappa/index.html?parcelID=1162502&amp;Theme=Imagery","1162502")</f>
        <v>1162502</v>
      </c>
      <c r="G570" s="37" t="s">
        <v>3019</v>
      </c>
      <c r="H570" s="38">
        <v>45208</v>
      </c>
      <c r="I570" s="39">
        <v>1030000</v>
      </c>
      <c r="J570" s="40">
        <v>0.56000000000000005</v>
      </c>
      <c r="K570" s="37" t="s">
        <v>5794</v>
      </c>
      <c r="L570" s="37" t="s">
        <v>213</v>
      </c>
      <c r="M570" s="37" t="s">
        <v>5795</v>
      </c>
      <c r="N570" s="37" t="s">
        <v>5796</v>
      </c>
    </row>
    <row r="571" spans="1:14" ht="20.100000000000001" customHeight="1" x14ac:dyDescent="0.25">
      <c r="A571" s="36" t="s">
        <v>5791</v>
      </c>
      <c r="B571" s="37" t="s">
        <v>105</v>
      </c>
      <c r="C571" s="36">
        <v>8402305</v>
      </c>
      <c r="D571" s="37" t="s">
        <v>452</v>
      </c>
      <c r="E571" s="36" t="s">
        <v>5800</v>
      </c>
      <c r="F571" s="21" t="str">
        <f>HYPERLINK("https://psearch.kitsapgov.com/webappa/index.html?parcelID=2472157&amp;Theme=Imagery","2472157")</f>
        <v>2472157</v>
      </c>
      <c r="G571" s="37" t="s">
        <v>5801</v>
      </c>
      <c r="H571" s="38">
        <v>45208</v>
      </c>
      <c r="I571" s="39">
        <v>1030000</v>
      </c>
      <c r="J571" s="40">
        <v>0.11</v>
      </c>
      <c r="K571" s="37" t="s">
        <v>455</v>
      </c>
      <c r="L571" s="37" t="s">
        <v>213</v>
      </c>
      <c r="M571" s="37" t="s">
        <v>5795</v>
      </c>
      <c r="N571" s="37" t="s">
        <v>5796</v>
      </c>
    </row>
    <row r="572" spans="1:14" ht="20.100000000000001" customHeight="1" x14ac:dyDescent="0.25">
      <c r="A572" s="36" t="s">
        <v>5791</v>
      </c>
      <c r="B572" s="37" t="s">
        <v>105</v>
      </c>
      <c r="C572" s="36">
        <v>7402395</v>
      </c>
      <c r="D572" s="37" t="s">
        <v>5792</v>
      </c>
      <c r="E572" s="36" t="s">
        <v>5802</v>
      </c>
      <c r="F572" s="21" t="str">
        <f>HYPERLINK("https://psearch.kitsapgov.com/webappa/index.html?parcelID=1728104&amp;Theme=Imagery","1728104")</f>
        <v>1728104</v>
      </c>
      <c r="G572" s="37" t="s">
        <v>3019</v>
      </c>
      <c r="H572" s="38">
        <v>45208</v>
      </c>
      <c r="I572" s="39">
        <v>1030000</v>
      </c>
      <c r="J572" s="40">
        <v>0.27</v>
      </c>
      <c r="K572" s="37" t="s">
        <v>5794</v>
      </c>
      <c r="L572" s="37" t="s">
        <v>213</v>
      </c>
      <c r="M572" s="37" t="s">
        <v>5795</v>
      </c>
      <c r="N572" s="37" t="s">
        <v>5796</v>
      </c>
    </row>
    <row r="573" spans="1:14" ht="39.950000000000003" customHeight="1" x14ac:dyDescent="0.25">
      <c r="A573" s="36" t="s">
        <v>5803</v>
      </c>
      <c r="B573" s="37" t="s">
        <v>533</v>
      </c>
      <c r="C573" s="36">
        <v>9100531</v>
      </c>
      <c r="D573" s="37" t="s">
        <v>5804</v>
      </c>
      <c r="E573" s="36" t="s">
        <v>5805</v>
      </c>
      <c r="F573" s="21" t="str">
        <f>HYPERLINK("https://psearch.kitsapgov.com/webappa/index.html?parcelID=2363018&amp;Theme=Imagery","2363018")</f>
        <v>2363018</v>
      </c>
      <c r="G573" s="37" t="s">
        <v>5806</v>
      </c>
      <c r="H573" s="38">
        <v>45229</v>
      </c>
      <c r="I573" s="39">
        <v>580000</v>
      </c>
      <c r="J573" s="40">
        <v>1.5</v>
      </c>
      <c r="K573" s="37" t="s">
        <v>377</v>
      </c>
      <c r="L573" s="37" t="s">
        <v>94</v>
      </c>
      <c r="M573" s="37" t="s">
        <v>5807</v>
      </c>
      <c r="N573" s="37" t="s">
        <v>5808</v>
      </c>
    </row>
    <row r="574" spans="1:14" ht="39.950000000000003" customHeight="1" x14ac:dyDescent="0.25">
      <c r="A574" s="36" t="s">
        <v>5809</v>
      </c>
      <c r="B574" s="37" t="s">
        <v>16</v>
      </c>
      <c r="C574" s="36">
        <v>8303601</v>
      </c>
      <c r="D574" s="37" t="s">
        <v>25</v>
      </c>
      <c r="E574" s="36" t="s">
        <v>415</v>
      </c>
      <c r="F574" s="21" t="str">
        <f>HYPERLINK("https://psearch.kitsapgov.com/webappa/index.html?parcelID=2639987&amp;Theme=Imagery","2639987")</f>
        <v>2639987</v>
      </c>
      <c r="G574" s="37" t="s">
        <v>416</v>
      </c>
      <c r="H574" s="38">
        <v>45236</v>
      </c>
      <c r="I574" s="39">
        <v>2143000</v>
      </c>
      <c r="J574" s="40">
        <v>0</v>
      </c>
      <c r="L574" s="37" t="s">
        <v>4517</v>
      </c>
      <c r="M574" s="37" t="s">
        <v>5810</v>
      </c>
      <c r="N574" s="37" t="s">
        <v>5811</v>
      </c>
    </row>
    <row r="575" spans="1:14" ht="20.100000000000001" customHeight="1" x14ac:dyDescent="0.25">
      <c r="A575" s="36" t="s">
        <v>5809</v>
      </c>
      <c r="B575" s="37" t="s">
        <v>4634</v>
      </c>
      <c r="C575" s="36">
        <v>7303607</v>
      </c>
      <c r="D575" s="37" t="s">
        <v>4635</v>
      </c>
      <c r="E575" s="36" t="s">
        <v>5812</v>
      </c>
      <c r="F575" s="21" t="str">
        <f>HYPERLINK("https://psearch.kitsapgov.com/webappa/index.html?parcelID=2640019&amp;Theme=Imagery","2640019")</f>
        <v>2640019</v>
      </c>
      <c r="G575" s="37" t="s">
        <v>3019</v>
      </c>
      <c r="H575" s="38">
        <v>45236</v>
      </c>
      <c r="I575" s="39">
        <v>2143000</v>
      </c>
      <c r="J575" s="40">
        <v>0</v>
      </c>
      <c r="L575" s="37" t="s">
        <v>4517</v>
      </c>
      <c r="M575" s="37" t="s">
        <v>5810</v>
      </c>
      <c r="N575" s="37" t="s">
        <v>5811</v>
      </c>
    </row>
    <row r="576" spans="1:14" ht="39.950000000000003" customHeight="1" x14ac:dyDescent="0.25">
      <c r="A576" s="36" t="s">
        <v>5813</v>
      </c>
      <c r="B576" s="37" t="s">
        <v>185</v>
      </c>
      <c r="C576" s="36">
        <v>9402405</v>
      </c>
      <c r="D576" s="37" t="s">
        <v>818</v>
      </c>
      <c r="E576" s="36" t="s">
        <v>4998</v>
      </c>
      <c r="F576" s="21" t="str">
        <f>HYPERLINK("https://psearch.kitsapgov.com/webappa/index.html?parcelID=1206366&amp;Theme=Imagery","1206366")</f>
        <v>1206366</v>
      </c>
      <c r="G576" s="37" t="s">
        <v>4999</v>
      </c>
      <c r="H576" s="38">
        <v>45246</v>
      </c>
      <c r="I576" s="39">
        <v>980000</v>
      </c>
      <c r="J576" s="40">
        <v>1.46</v>
      </c>
      <c r="K576" s="37" t="s">
        <v>205</v>
      </c>
      <c r="L576" s="37" t="s">
        <v>4552</v>
      </c>
      <c r="M576" s="37" t="s">
        <v>5814</v>
      </c>
      <c r="N576" s="37" t="s">
        <v>5815</v>
      </c>
    </row>
    <row r="577" spans="1:14" ht="20.100000000000001" customHeight="1" x14ac:dyDescent="0.25">
      <c r="A577" s="36" t="s">
        <v>5813</v>
      </c>
      <c r="B577" s="37" t="s">
        <v>5002</v>
      </c>
      <c r="C577" s="36">
        <v>7402405</v>
      </c>
      <c r="D577" s="37" t="s">
        <v>5003</v>
      </c>
      <c r="E577" s="36" t="s">
        <v>5004</v>
      </c>
      <c r="F577" s="21" t="str">
        <f>HYPERLINK("https://psearch.kitsapgov.com/webappa/index.html?parcelID=1206697&amp;Theme=Imagery","1206697")</f>
        <v>1206697</v>
      </c>
      <c r="G577" s="37" t="s">
        <v>3019</v>
      </c>
      <c r="H577" s="38">
        <v>45246</v>
      </c>
      <c r="I577" s="39">
        <v>980000</v>
      </c>
      <c r="J577" s="40">
        <v>0.02</v>
      </c>
      <c r="K577" s="37" t="s">
        <v>205</v>
      </c>
      <c r="L577" s="37" t="s">
        <v>4552</v>
      </c>
      <c r="M577" s="37" t="s">
        <v>5814</v>
      </c>
      <c r="N577" s="37" t="s">
        <v>5815</v>
      </c>
    </row>
    <row r="578" spans="1:14" ht="39.950000000000003" customHeight="1" x14ac:dyDescent="0.25">
      <c r="A578" s="36" t="s">
        <v>5816</v>
      </c>
      <c r="B578" s="37" t="s">
        <v>105</v>
      </c>
      <c r="C578" s="36">
        <v>8402305</v>
      </c>
      <c r="D578" s="37" t="s">
        <v>452</v>
      </c>
      <c r="E578" s="36" t="s">
        <v>5817</v>
      </c>
      <c r="F578" s="21" t="str">
        <f>HYPERLINK("https://psearch.kitsapgov.com/webappa/index.html?parcelID=1776251&amp;Theme=Imagery","1776251")</f>
        <v>1776251</v>
      </c>
      <c r="G578" s="37" t="s">
        <v>5818</v>
      </c>
      <c r="H578" s="38">
        <v>45259</v>
      </c>
      <c r="I578" s="39">
        <v>1070000</v>
      </c>
      <c r="J578" s="40">
        <v>2.4</v>
      </c>
      <c r="K578" s="37" t="s">
        <v>2040</v>
      </c>
      <c r="L578" s="37" t="s">
        <v>4517</v>
      </c>
      <c r="M578" s="37" t="s">
        <v>5819</v>
      </c>
      <c r="N578" s="37" t="s">
        <v>5820</v>
      </c>
    </row>
    <row r="579" spans="1:14" ht="20.100000000000001" customHeight="1" x14ac:dyDescent="0.25">
      <c r="A579" s="36" t="s">
        <v>5816</v>
      </c>
      <c r="B579" s="37" t="s">
        <v>105</v>
      </c>
      <c r="C579" s="36">
        <v>8402305</v>
      </c>
      <c r="D579" s="37" t="s">
        <v>452</v>
      </c>
      <c r="E579" s="36" t="s">
        <v>5821</v>
      </c>
      <c r="F579" s="21" t="str">
        <f>HYPERLINK("https://psearch.kitsapgov.com/webappa/index.html?parcelID=1776269&amp;Theme=Imagery","1776269")</f>
        <v>1776269</v>
      </c>
      <c r="G579" s="37" t="s">
        <v>5822</v>
      </c>
      <c r="H579" s="38">
        <v>45259</v>
      </c>
      <c r="I579" s="39">
        <v>1070000</v>
      </c>
      <c r="J579" s="40">
        <v>1.2</v>
      </c>
      <c r="K579" s="37" t="s">
        <v>2040</v>
      </c>
      <c r="L579" s="37" t="s">
        <v>4517</v>
      </c>
      <c r="M579" s="37" t="s">
        <v>5819</v>
      </c>
      <c r="N579" s="37" t="s">
        <v>5820</v>
      </c>
    </row>
    <row r="580" spans="1:14" ht="20.100000000000001" customHeight="1" x14ac:dyDescent="0.25">
      <c r="A580" s="36" t="s">
        <v>5816</v>
      </c>
      <c r="B580" s="37" t="s">
        <v>105</v>
      </c>
      <c r="C580" s="36">
        <v>8402305</v>
      </c>
      <c r="D580" s="37" t="s">
        <v>452</v>
      </c>
      <c r="E580" s="36" t="s">
        <v>5823</v>
      </c>
      <c r="F580" s="21" t="str">
        <f>HYPERLINK("https://psearch.kitsapgov.com/webappa/index.html?parcelID=1776277&amp;Theme=Imagery","1776277")</f>
        <v>1776277</v>
      </c>
      <c r="G580" s="37" t="s">
        <v>5824</v>
      </c>
      <c r="H580" s="38">
        <v>45259</v>
      </c>
      <c r="I580" s="39">
        <v>1070000</v>
      </c>
      <c r="J580" s="40">
        <v>2.54</v>
      </c>
      <c r="K580" s="37" t="s">
        <v>2040</v>
      </c>
      <c r="L580" s="37" t="s">
        <v>4517</v>
      </c>
      <c r="M580" s="37" t="s">
        <v>5819</v>
      </c>
      <c r="N580" s="37" t="s">
        <v>5820</v>
      </c>
    </row>
    <row r="581" spans="1:14" ht="39.950000000000003" customHeight="1" x14ac:dyDescent="0.25">
      <c r="A581" s="36" t="s">
        <v>5825</v>
      </c>
      <c r="B581" s="37" t="s">
        <v>16</v>
      </c>
      <c r="C581" s="36">
        <v>8303601</v>
      </c>
      <c r="D581" s="37" t="s">
        <v>25</v>
      </c>
      <c r="E581" s="36" t="s">
        <v>5826</v>
      </c>
      <c r="F581" s="21" t="str">
        <f>HYPERLINK("https://psearch.kitsapgov.com/webappa/index.html?parcelID=2333599&amp;Theme=Imagery","2333599")</f>
        <v>2333599</v>
      </c>
      <c r="G581" s="37" t="s">
        <v>5827</v>
      </c>
      <c r="H581" s="38">
        <v>45274</v>
      </c>
      <c r="I581" s="39">
        <v>1125000</v>
      </c>
      <c r="J581" s="40">
        <v>0</v>
      </c>
      <c r="L581" s="37" t="s">
        <v>4517</v>
      </c>
      <c r="M581" s="37" t="s">
        <v>5828</v>
      </c>
      <c r="N581" s="37" t="s">
        <v>5829</v>
      </c>
    </row>
    <row r="582" spans="1:14" ht="20.100000000000001" customHeight="1" x14ac:dyDescent="0.25">
      <c r="A582" s="36" t="s">
        <v>5825</v>
      </c>
      <c r="B582" s="37" t="s">
        <v>16</v>
      </c>
      <c r="C582" s="36">
        <v>8303601</v>
      </c>
      <c r="D582" s="37" t="s">
        <v>25</v>
      </c>
      <c r="E582" s="36" t="s">
        <v>5830</v>
      </c>
      <c r="F582" s="21" t="str">
        <f>HYPERLINK("https://psearch.kitsapgov.com/webappa/index.html?parcelID=2333607&amp;Theme=Imagery","2333607")</f>
        <v>2333607</v>
      </c>
      <c r="G582" s="37" t="s">
        <v>5831</v>
      </c>
      <c r="H582" s="38">
        <v>45274</v>
      </c>
      <c r="I582" s="39">
        <v>1125000</v>
      </c>
      <c r="J582" s="40">
        <v>0</v>
      </c>
      <c r="L582" s="37" t="s">
        <v>4517</v>
      </c>
      <c r="M582" s="37" t="s">
        <v>5828</v>
      </c>
      <c r="N582" s="37" t="s">
        <v>5829</v>
      </c>
    </row>
    <row r="583" spans="1:14" ht="20.100000000000001" customHeight="1" x14ac:dyDescent="0.25">
      <c r="A583" s="36" t="s">
        <v>5825</v>
      </c>
      <c r="B583" s="37" t="s">
        <v>16</v>
      </c>
      <c r="C583" s="36">
        <v>8303601</v>
      </c>
      <c r="D583" s="37" t="s">
        <v>25</v>
      </c>
      <c r="E583" s="36" t="s">
        <v>5832</v>
      </c>
      <c r="F583" s="21" t="str">
        <f>HYPERLINK("https://psearch.kitsapgov.com/webappa/index.html?parcelID=2333615&amp;Theme=Imagery","2333615")</f>
        <v>2333615</v>
      </c>
      <c r="G583" s="37" t="s">
        <v>5833</v>
      </c>
      <c r="H583" s="38">
        <v>45274</v>
      </c>
      <c r="I583" s="39">
        <v>1125000</v>
      </c>
      <c r="J583" s="40">
        <v>0</v>
      </c>
      <c r="L583" s="37" t="s">
        <v>4517</v>
      </c>
      <c r="M583" s="37" t="s">
        <v>5828</v>
      </c>
      <c r="N583" s="37" t="s">
        <v>5829</v>
      </c>
    </row>
    <row r="584" spans="1:14" ht="20.100000000000001" customHeight="1" x14ac:dyDescent="0.25">
      <c r="A584" s="36" t="s">
        <v>5825</v>
      </c>
      <c r="B584" s="37" t="s">
        <v>16</v>
      </c>
      <c r="C584" s="36">
        <v>8303601</v>
      </c>
      <c r="D584" s="37" t="s">
        <v>25</v>
      </c>
      <c r="E584" s="36" t="s">
        <v>5834</v>
      </c>
      <c r="F584" s="21" t="str">
        <f>HYPERLINK("https://psearch.kitsapgov.com/webappa/index.html?parcelID=2333623&amp;Theme=Imagery","2333623")</f>
        <v>2333623</v>
      </c>
      <c r="G584" s="37" t="s">
        <v>5835</v>
      </c>
      <c r="H584" s="38">
        <v>45274</v>
      </c>
      <c r="I584" s="39">
        <v>1125000</v>
      </c>
      <c r="J584" s="40">
        <v>0</v>
      </c>
      <c r="L584" s="37" t="s">
        <v>4517</v>
      </c>
      <c r="M584" s="37" t="s">
        <v>5828</v>
      </c>
      <c r="N584" s="37" t="s">
        <v>5829</v>
      </c>
    </row>
    <row r="585" spans="1:14" ht="39.950000000000003" customHeight="1" x14ac:dyDescent="0.25">
      <c r="A585" s="36" t="s">
        <v>5836</v>
      </c>
      <c r="B585" s="37" t="s">
        <v>909</v>
      </c>
      <c r="C585" s="36">
        <v>8303601</v>
      </c>
      <c r="D585" s="37" t="s">
        <v>25</v>
      </c>
      <c r="E585" s="36" t="s">
        <v>4759</v>
      </c>
      <c r="F585" s="21" t="str">
        <f>HYPERLINK("https://psearch.kitsapgov.com/webappa/index.html?parcelID=2434181&amp;Theme=Imagery","2434181")</f>
        <v>2434181</v>
      </c>
      <c r="G585" s="37" t="s">
        <v>4760</v>
      </c>
      <c r="H585" s="38">
        <v>45279</v>
      </c>
      <c r="I585" s="39">
        <v>235000</v>
      </c>
      <c r="J585" s="40">
        <v>4.9800000000000004</v>
      </c>
      <c r="K585" s="37" t="s">
        <v>421</v>
      </c>
      <c r="L585" s="37" t="s">
        <v>944</v>
      </c>
      <c r="M585" s="37" t="s">
        <v>5837</v>
      </c>
      <c r="N585" s="37" t="s">
        <v>5838</v>
      </c>
    </row>
    <row r="586" spans="1:14" ht="20.100000000000001" customHeight="1" x14ac:dyDescent="0.25">
      <c r="A586" s="36" t="s">
        <v>5836</v>
      </c>
      <c r="B586" s="37" t="s">
        <v>4603</v>
      </c>
      <c r="C586" s="36">
        <v>7303604</v>
      </c>
      <c r="D586" s="37" t="s">
        <v>4763</v>
      </c>
      <c r="E586" s="36" t="s">
        <v>5839</v>
      </c>
      <c r="F586" s="21" t="str">
        <f>HYPERLINK("https://psearch.kitsapgov.com/webappa/index.html?parcelID=2583664&amp;Theme=Imagery","2583664")</f>
        <v>2583664</v>
      </c>
      <c r="G586" s="37" t="s">
        <v>3019</v>
      </c>
      <c r="H586" s="38">
        <v>45279</v>
      </c>
      <c r="I586" s="39">
        <v>235000</v>
      </c>
      <c r="J586" s="40">
        <v>0</v>
      </c>
      <c r="L586" s="37" t="s">
        <v>944</v>
      </c>
      <c r="M586" s="37" t="s">
        <v>5837</v>
      </c>
      <c r="N586" s="37" t="s">
        <v>5838</v>
      </c>
    </row>
    <row r="587" spans="1:14" ht="39.950000000000003" customHeight="1" x14ac:dyDescent="0.25">
      <c r="A587" s="36" t="s">
        <v>5840</v>
      </c>
      <c r="B587" s="37" t="s">
        <v>105</v>
      </c>
      <c r="C587" s="36">
        <v>8100502</v>
      </c>
      <c r="D587" s="37" t="s">
        <v>142</v>
      </c>
      <c r="E587" s="36" t="s">
        <v>5841</v>
      </c>
      <c r="F587" s="21" t="str">
        <f>HYPERLINK("https://psearch.kitsapgov.com/webappa/index.html?parcelID=1151703&amp;Theme=Imagery","1151703")</f>
        <v>1151703</v>
      </c>
      <c r="G587" s="37" t="s">
        <v>5842</v>
      </c>
      <c r="H587" s="38">
        <v>45288</v>
      </c>
      <c r="I587" s="39">
        <v>213610</v>
      </c>
      <c r="J587" s="40">
        <v>0.9</v>
      </c>
      <c r="K587" s="37" t="s">
        <v>145</v>
      </c>
      <c r="L587" s="37" t="s">
        <v>4517</v>
      </c>
      <c r="M587" s="37" t="s">
        <v>5843</v>
      </c>
      <c r="N587" s="37" t="s">
        <v>1436</v>
      </c>
    </row>
    <row r="588" spans="1:14" ht="20.100000000000001" customHeight="1" x14ac:dyDescent="0.25">
      <c r="A588" s="36" t="s">
        <v>5840</v>
      </c>
      <c r="B588" s="37" t="s">
        <v>105</v>
      </c>
      <c r="C588" s="36">
        <v>8100502</v>
      </c>
      <c r="D588" s="37" t="s">
        <v>142</v>
      </c>
      <c r="E588" s="36" t="s">
        <v>5844</v>
      </c>
      <c r="F588" s="21" t="str">
        <f>HYPERLINK("https://psearch.kitsapgov.com/webappa/index.html?parcelID=2075554&amp;Theme=Imagery","2075554")</f>
        <v>2075554</v>
      </c>
      <c r="G588" s="37" t="s">
        <v>5845</v>
      </c>
      <c r="H588" s="38">
        <v>45288</v>
      </c>
      <c r="I588" s="39">
        <v>213610</v>
      </c>
      <c r="J588" s="40">
        <v>1.38</v>
      </c>
      <c r="K588" s="37" t="s">
        <v>145</v>
      </c>
      <c r="L588" s="37" t="s">
        <v>4517</v>
      </c>
      <c r="M588" s="37" t="s">
        <v>5843</v>
      </c>
      <c r="N588" s="37" t="s">
        <v>1436</v>
      </c>
    </row>
    <row r="589" spans="1:14" ht="39.950000000000003" customHeight="1" x14ac:dyDescent="0.25">
      <c r="A589" s="36" t="s">
        <v>5846</v>
      </c>
      <c r="B589" s="37" t="s">
        <v>105</v>
      </c>
      <c r="C589" s="36">
        <v>8100502</v>
      </c>
      <c r="D589" s="37" t="s">
        <v>142</v>
      </c>
      <c r="E589" s="36" t="s">
        <v>5847</v>
      </c>
      <c r="F589" s="21" t="str">
        <f>HYPERLINK("https://psearch.kitsapgov.com/webappa/index.html?parcelID=1156819&amp;Theme=Imagery","1156819")</f>
        <v>1156819</v>
      </c>
      <c r="G589" s="37" t="s">
        <v>5848</v>
      </c>
      <c r="H589" s="38">
        <v>45288</v>
      </c>
      <c r="I589" s="39">
        <v>626903</v>
      </c>
      <c r="J589" s="40">
        <v>0.59</v>
      </c>
      <c r="K589" s="37" t="s">
        <v>145</v>
      </c>
      <c r="L589" s="37" t="s">
        <v>4517</v>
      </c>
      <c r="M589" s="37" t="s">
        <v>5849</v>
      </c>
      <c r="N589" s="37" t="s">
        <v>5850</v>
      </c>
    </row>
    <row r="590" spans="1:14" ht="20.100000000000001" customHeight="1" x14ac:dyDescent="0.25">
      <c r="A590" s="36" t="s">
        <v>5846</v>
      </c>
      <c r="B590" s="37" t="s">
        <v>105</v>
      </c>
      <c r="C590" s="36">
        <v>8100502</v>
      </c>
      <c r="D590" s="37" t="s">
        <v>142</v>
      </c>
      <c r="E590" s="36" t="s">
        <v>5851</v>
      </c>
      <c r="F590" s="21" t="str">
        <f>HYPERLINK("https://psearch.kitsapgov.com/webappa/index.html?parcelID=1157106&amp;Theme=Imagery","1157106")</f>
        <v>1157106</v>
      </c>
      <c r="G590" s="37" t="s">
        <v>5852</v>
      </c>
      <c r="H590" s="38">
        <v>45288</v>
      </c>
      <c r="I590" s="39">
        <v>626903</v>
      </c>
      <c r="J590" s="40">
        <v>0.52</v>
      </c>
      <c r="K590" s="37" t="s">
        <v>145</v>
      </c>
      <c r="L590" s="37" t="s">
        <v>4517</v>
      </c>
      <c r="M590" s="37" t="s">
        <v>5849</v>
      </c>
      <c r="N590" s="37" t="s">
        <v>5850</v>
      </c>
    </row>
    <row r="591" spans="1:14" ht="39.950000000000003" customHeight="1" x14ac:dyDescent="0.25">
      <c r="A591" s="36" t="s">
        <v>5853</v>
      </c>
      <c r="B591" s="37" t="s">
        <v>78</v>
      </c>
      <c r="C591" s="36">
        <v>8100502</v>
      </c>
      <c r="D591" s="37" t="s">
        <v>142</v>
      </c>
      <c r="E591" s="36" t="s">
        <v>2011</v>
      </c>
      <c r="F591" s="21" t="str">
        <f>HYPERLINK("https://psearch.kitsapgov.com/webappa/index.html?parcelID=1442342&amp;Theme=Imagery","1442342")</f>
        <v>1442342</v>
      </c>
      <c r="G591" s="37" t="s">
        <v>2009</v>
      </c>
      <c r="H591" s="38">
        <v>45321</v>
      </c>
      <c r="I591" s="39">
        <v>1111000</v>
      </c>
      <c r="J591" s="40">
        <v>0.45</v>
      </c>
      <c r="K591" s="37" t="s">
        <v>145</v>
      </c>
      <c r="L591" s="37" t="s">
        <v>4517</v>
      </c>
      <c r="M591" s="37" t="s">
        <v>5854</v>
      </c>
      <c r="N591" s="37" t="s">
        <v>5855</v>
      </c>
    </row>
    <row r="592" spans="1:14" ht="20.100000000000001" customHeight="1" x14ac:dyDescent="0.25">
      <c r="A592" s="36" t="s">
        <v>5853</v>
      </c>
      <c r="B592" s="37" t="s">
        <v>78</v>
      </c>
      <c r="C592" s="36">
        <v>8100502</v>
      </c>
      <c r="D592" s="37" t="s">
        <v>142</v>
      </c>
      <c r="E592" s="36" t="s">
        <v>2008</v>
      </c>
      <c r="F592" s="21" t="str">
        <f>HYPERLINK("https://psearch.kitsapgov.com/webappa/index.html?parcelID=1442359&amp;Theme=Imagery","1442359")</f>
        <v>1442359</v>
      </c>
      <c r="G592" s="37" t="s">
        <v>2009</v>
      </c>
      <c r="H592" s="38">
        <v>45321</v>
      </c>
      <c r="I592" s="39">
        <v>1111000</v>
      </c>
      <c r="J592" s="40">
        <v>0.45</v>
      </c>
      <c r="K592" s="37" t="s">
        <v>145</v>
      </c>
      <c r="L592" s="37" t="s">
        <v>4517</v>
      </c>
      <c r="M592" s="37" t="s">
        <v>5854</v>
      </c>
      <c r="N592" s="37" t="s">
        <v>5855</v>
      </c>
    </row>
    <row r="593" spans="1:14" ht="20.100000000000001" customHeight="1" x14ac:dyDescent="0.25">
      <c r="A593" s="36" t="s">
        <v>5853</v>
      </c>
      <c r="B593" s="37" t="s">
        <v>78</v>
      </c>
      <c r="C593" s="36">
        <v>8100502</v>
      </c>
      <c r="D593" s="37" t="s">
        <v>142</v>
      </c>
      <c r="E593" s="36" t="s">
        <v>607</v>
      </c>
      <c r="F593" s="21" t="str">
        <f>HYPERLINK("https://psearch.kitsapgov.com/webappa/index.html?parcelID=1442367&amp;Theme=Imagery","1442367")</f>
        <v>1442367</v>
      </c>
      <c r="G593" s="37" t="s">
        <v>608</v>
      </c>
      <c r="H593" s="38">
        <v>45321</v>
      </c>
      <c r="I593" s="39">
        <v>1111000</v>
      </c>
      <c r="J593" s="40">
        <v>0.45</v>
      </c>
      <c r="K593" s="37" t="s">
        <v>145</v>
      </c>
      <c r="L593" s="37" t="s">
        <v>4517</v>
      </c>
      <c r="M593" s="37" t="s">
        <v>5854</v>
      </c>
      <c r="N593" s="37" t="s">
        <v>5855</v>
      </c>
    </row>
    <row r="594" spans="1:14" ht="20.100000000000001" customHeight="1" x14ac:dyDescent="0.25">
      <c r="A594" s="36" t="s">
        <v>5853</v>
      </c>
      <c r="B594" s="37" t="s">
        <v>78</v>
      </c>
      <c r="C594" s="36">
        <v>8100502</v>
      </c>
      <c r="D594" s="37" t="s">
        <v>142</v>
      </c>
      <c r="E594" s="36" t="s">
        <v>597</v>
      </c>
      <c r="F594" s="21" t="str">
        <f>HYPERLINK("https://psearch.kitsapgov.com/webappa/index.html?parcelID=1442375&amp;Theme=Imagery","1442375")</f>
        <v>1442375</v>
      </c>
      <c r="G594" s="37" t="s">
        <v>598</v>
      </c>
      <c r="H594" s="38">
        <v>45321</v>
      </c>
      <c r="I594" s="39">
        <v>1111000</v>
      </c>
      <c r="J594" s="40">
        <v>0.47</v>
      </c>
      <c r="K594" s="37" t="s">
        <v>145</v>
      </c>
      <c r="L594" s="37" t="s">
        <v>4517</v>
      </c>
      <c r="M594" s="37" t="s">
        <v>5854</v>
      </c>
      <c r="N594" s="37" t="s">
        <v>5855</v>
      </c>
    </row>
    <row r="595" spans="1:14" ht="20.100000000000001" customHeight="1" x14ac:dyDescent="0.25">
      <c r="A595" s="36" t="s">
        <v>5853</v>
      </c>
      <c r="B595" s="37" t="s">
        <v>78</v>
      </c>
      <c r="C595" s="36">
        <v>8100502</v>
      </c>
      <c r="D595" s="37" t="s">
        <v>142</v>
      </c>
      <c r="E595" s="36" t="s">
        <v>1157</v>
      </c>
      <c r="F595" s="21" t="str">
        <f>HYPERLINK("https://psearch.kitsapgov.com/webappa/index.html?parcelID=1934090&amp;Theme=Imagery","1934090")</f>
        <v>1934090</v>
      </c>
      <c r="G595" s="37" t="s">
        <v>1158</v>
      </c>
      <c r="H595" s="38">
        <v>45321</v>
      </c>
      <c r="I595" s="39">
        <v>1111000</v>
      </c>
      <c r="J595" s="40">
        <v>0.83</v>
      </c>
      <c r="K595" s="37" t="s">
        <v>145</v>
      </c>
      <c r="L595" s="37" t="s">
        <v>4517</v>
      </c>
      <c r="M595" s="37" t="s">
        <v>5854</v>
      </c>
      <c r="N595" s="37" t="s">
        <v>5855</v>
      </c>
    </row>
    <row r="596" spans="1:14" ht="39.950000000000003" customHeight="1" x14ac:dyDescent="0.25">
      <c r="A596" s="36" t="s">
        <v>5856</v>
      </c>
      <c r="B596" s="37" t="s">
        <v>185</v>
      </c>
      <c r="C596" s="36">
        <v>9400203</v>
      </c>
      <c r="D596" s="37" t="s">
        <v>49</v>
      </c>
      <c r="E596" s="36" t="s">
        <v>5277</v>
      </c>
      <c r="F596" s="21" t="str">
        <f>HYPERLINK("https://psearch.kitsapgov.com/webappa/index.html?parcelID=2444487&amp;Theme=Imagery","2444487")</f>
        <v>2444487</v>
      </c>
      <c r="G596" s="37" t="s">
        <v>5278</v>
      </c>
      <c r="H596" s="38">
        <v>45337</v>
      </c>
      <c r="I596" s="39">
        <v>1085000</v>
      </c>
      <c r="J596" s="40">
        <v>1.43</v>
      </c>
      <c r="K596" s="37" t="s">
        <v>471</v>
      </c>
      <c r="L596" s="37" t="s">
        <v>4552</v>
      </c>
      <c r="M596" s="37" t="s">
        <v>5280</v>
      </c>
      <c r="N596" s="37" t="s">
        <v>5857</v>
      </c>
    </row>
    <row r="597" spans="1:14" ht="20.100000000000001" customHeight="1" x14ac:dyDescent="0.25">
      <c r="A597" s="36" t="s">
        <v>5856</v>
      </c>
      <c r="B597" s="37" t="s">
        <v>185</v>
      </c>
      <c r="C597" s="36">
        <v>9400203</v>
      </c>
      <c r="D597" s="37" t="s">
        <v>49</v>
      </c>
      <c r="E597" s="36" t="s">
        <v>5281</v>
      </c>
      <c r="F597" s="21" t="str">
        <f>HYPERLINK("https://psearch.kitsapgov.com/webappa/index.html?parcelID=2453678&amp;Theme=Imagery","2453678")</f>
        <v>2453678</v>
      </c>
      <c r="G597" s="37" t="s">
        <v>5282</v>
      </c>
      <c r="H597" s="38">
        <v>45337</v>
      </c>
      <c r="I597" s="39">
        <v>1085000</v>
      </c>
      <c r="J597" s="40">
        <v>0.42</v>
      </c>
      <c r="K597" s="37" t="s">
        <v>5283</v>
      </c>
      <c r="L597" s="37" t="s">
        <v>4552</v>
      </c>
      <c r="M597" s="37" t="s">
        <v>5280</v>
      </c>
      <c r="N597" s="37" t="s">
        <v>5857</v>
      </c>
    </row>
    <row r="598" spans="1:14" ht="39.950000000000003" customHeight="1" x14ac:dyDescent="0.25">
      <c r="A598" s="36" t="s">
        <v>5858</v>
      </c>
      <c r="B598" s="37" t="s">
        <v>909</v>
      </c>
      <c r="C598" s="36">
        <v>8303601</v>
      </c>
      <c r="D598" s="37" t="s">
        <v>25</v>
      </c>
      <c r="E598" s="36" t="s">
        <v>4759</v>
      </c>
      <c r="F598" s="21" t="str">
        <f>HYPERLINK("https://psearch.kitsapgov.com/webappa/index.html?parcelID=2434181&amp;Theme=Imagery","2434181")</f>
        <v>2434181</v>
      </c>
      <c r="G598" s="37" t="s">
        <v>4760</v>
      </c>
      <c r="H598" s="38">
        <v>45344</v>
      </c>
      <c r="I598" s="39">
        <v>300000</v>
      </c>
      <c r="J598" s="40">
        <v>4.9800000000000004</v>
      </c>
      <c r="K598" s="37" t="s">
        <v>421</v>
      </c>
      <c r="L598" s="37" t="s">
        <v>944</v>
      </c>
      <c r="M598" s="37" t="s">
        <v>5859</v>
      </c>
      <c r="N598" s="37" t="s">
        <v>5860</v>
      </c>
    </row>
    <row r="599" spans="1:14" ht="20.100000000000001" customHeight="1" x14ac:dyDescent="0.25">
      <c r="A599" s="36" t="s">
        <v>5858</v>
      </c>
      <c r="B599" s="37" t="s">
        <v>4603</v>
      </c>
      <c r="C599" s="36">
        <v>7303604</v>
      </c>
      <c r="D599" s="37" t="s">
        <v>4763</v>
      </c>
      <c r="E599" s="36" t="s">
        <v>5861</v>
      </c>
      <c r="F599" s="21" t="str">
        <f>HYPERLINK("https://psearch.kitsapgov.com/webappa/index.html?parcelID=1887504&amp;Theme=Imagery","1887504")</f>
        <v>1887504</v>
      </c>
      <c r="G599" s="37" t="s">
        <v>3019</v>
      </c>
      <c r="H599" s="38">
        <v>45344</v>
      </c>
      <c r="I599" s="39">
        <v>300000</v>
      </c>
      <c r="J599" s="40">
        <v>0</v>
      </c>
      <c r="L599" s="37" t="s">
        <v>944</v>
      </c>
      <c r="M599" s="37" t="s">
        <v>5859</v>
      </c>
      <c r="N599" s="37" t="s">
        <v>5860</v>
      </c>
    </row>
    <row r="600" spans="1:14" ht="39.950000000000003" customHeight="1" x14ac:dyDescent="0.25">
      <c r="A600" s="36" t="s">
        <v>5862</v>
      </c>
      <c r="B600" s="37" t="s">
        <v>159</v>
      </c>
      <c r="C600" s="36">
        <v>8402405</v>
      </c>
      <c r="D600" s="37" t="s">
        <v>71</v>
      </c>
      <c r="E600" s="36" t="s">
        <v>5863</v>
      </c>
      <c r="F600" s="21" t="str">
        <f>HYPERLINK("https://psearch.kitsapgov.com/webappa/index.html?parcelID=1044601&amp;Theme=Imagery","1044601")</f>
        <v>1044601</v>
      </c>
      <c r="G600" s="37" t="s">
        <v>5864</v>
      </c>
      <c r="H600" s="38">
        <v>45363</v>
      </c>
      <c r="I600" s="39">
        <v>399474</v>
      </c>
      <c r="J600" s="40">
        <v>6</v>
      </c>
      <c r="K600" s="37" t="s">
        <v>82</v>
      </c>
      <c r="L600" s="37" t="s">
        <v>920</v>
      </c>
      <c r="M600" s="37" t="s">
        <v>5865</v>
      </c>
      <c r="N600" s="37" t="s">
        <v>5866</v>
      </c>
    </row>
    <row r="601" spans="1:14" ht="20.100000000000001" customHeight="1" x14ac:dyDescent="0.25">
      <c r="A601" s="36" t="s">
        <v>5862</v>
      </c>
      <c r="B601" s="37" t="s">
        <v>105</v>
      </c>
      <c r="C601" s="36">
        <v>7402407</v>
      </c>
      <c r="D601" s="37" t="s">
        <v>5379</v>
      </c>
      <c r="E601" s="36" t="s">
        <v>5867</v>
      </c>
      <c r="F601" s="21" t="str">
        <f>HYPERLINK("https://psearch.kitsapgov.com/webappa/index.html?parcelID=2512374&amp;Theme=Imagery","2512374")</f>
        <v>2512374</v>
      </c>
      <c r="G601" s="37" t="s">
        <v>3019</v>
      </c>
      <c r="H601" s="38">
        <v>45363</v>
      </c>
      <c r="I601" s="39">
        <v>399474</v>
      </c>
      <c r="J601" s="40">
        <v>2.58</v>
      </c>
      <c r="K601" s="37" t="s">
        <v>205</v>
      </c>
      <c r="L601" s="37" t="s">
        <v>920</v>
      </c>
      <c r="M601" s="37" t="s">
        <v>5865</v>
      </c>
      <c r="N601" s="37" t="s">
        <v>5866</v>
      </c>
    </row>
    <row r="602" spans="1:14" ht="20.100000000000001" customHeight="1" x14ac:dyDescent="0.25">
      <c r="A602" s="36" t="s">
        <v>5862</v>
      </c>
      <c r="B602" s="37" t="s">
        <v>105</v>
      </c>
      <c r="C602" s="36">
        <v>7402407</v>
      </c>
      <c r="D602" s="37" t="s">
        <v>5379</v>
      </c>
      <c r="E602" s="36" t="s">
        <v>5868</v>
      </c>
      <c r="F602" s="21" t="str">
        <f>HYPERLINK("https://psearch.kitsapgov.com/webappa/index.html?parcelID=2542637&amp;Theme=Imagery","2542637")</f>
        <v>2542637</v>
      </c>
      <c r="G602" s="37" t="s">
        <v>3019</v>
      </c>
      <c r="H602" s="38">
        <v>45363</v>
      </c>
      <c r="I602" s="39">
        <v>399474</v>
      </c>
      <c r="J602" s="40">
        <v>0.33</v>
      </c>
      <c r="K602" s="37" t="s">
        <v>205</v>
      </c>
      <c r="L602" s="37" t="s">
        <v>920</v>
      </c>
      <c r="M602" s="37" t="s">
        <v>5865</v>
      </c>
      <c r="N602" s="37" t="s">
        <v>5866</v>
      </c>
    </row>
    <row r="603" spans="1:14" ht="20.100000000000001" customHeight="1" x14ac:dyDescent="0.25">
      <c r="A603" s="36" t="s">
        <v>5862</v>
      </c>
      <c r="B603" s="37" t="s">
        <v>105</v>
      </c>
      <c r="C603" s="36">
        <v>7402407</v>
      </c>
      <c r="D603" s="37" t="s">
        <v>5379</v>
      </c>
      <c r="E603" s="36" t="s">
        <v>5869</v>
      </c>
      <c r="F603" s="21" t="str">
        <f>HYPERLINK("https://psearch.kitsapgov.com/webappa/index.html?parcelID=2542645&amp;Theme=Imagery","2542645")</f>
        <v>2542645</v>
      </c>
      <c r="G603" s="37" t="s">
        <v>3019</v>
      </c>
      <c r="H603" s="38">
        <v>45363</v>
      </c>
      <c r="I603" s="39">
        <v>399474</v>
      </c>
      <c r="J603" s="40">
        <v>2.2400000000000002</v>
      </c>
      <c r="K603" s="37" t="s">
        <v>205</v>
      </c>
      <c r="L603" s="37" t="s">
        <v>920</v>
      </c>
      <c r="M603" s="37" t="s">
        <v>5865</v>
      </c>
      <c r="N603" s="37" t="s">
        <v>5866</v>
      </c>
    </row>
    <row r="604" spans="1:14" ht="20.100000000000001" customHeight="1" x14ac:dyDescent="0.25">
      <c r="A604" s="36" t="s">
        <v>5862</v>
      </c>
      <c r="B604" s="37" t="s">
        <v>105</v>
      </c>
      <c r="C604" s="36">
        <v>7402407</v>
      </c>
      <c r="D604" s="37" t="s">
        <v>5379</v>
      </c>
      <c r="E604" s="36" t="s">
        <v>5870</v>
      </c>
      <c r="F604" s="21" t="str">
        <f>HYPERLINK("https://psearch.kitsapgov.com/webappa/index.html?parcelID=2625077&amp;Theme=Imagery","2625077")</f>
        <v>2625077</v>
      </c>
      <c r="G604" s="37" t="s">
        <v>3019</v>
      </c>
      <c r="H604" s="38">
        <v>45363</v>
      </c>
      <c r="I604" s="39">
        <v>399474</v>
      </c>
      <c r="J604" s="40">
        <v>20.170000000000002</v>
      </c>
      <c r="K604" s="37" t="s">
        <v>205</v>
      </c>
      <c r="L604" s="37" t="s">
        <v>920</v>
      </c>
      <c r="M604" s="37" t="s">
        <v>5865</v>
      </c>
      <c r="N604" s="37" t="s">
        <v>5866</v>
      </c>
    </row>
    <row r="605" spans="1:14" ht="39.950000000000003" customHeight="1" x14ac:dyDescent="0.25">
      <c r="A605" s="36" t="s">
        <v>5871</v>
      </c>
      <c r="B605" s="37" t="s">
        <v>105</v>
      </c>
      <c r="C605" s="36">
        <v>7402390</v>
      </c>
      <c r="D605" s="37" t="s">
        <v>4527</v>
      </c>
      <c r="E605" s="36" t="s">
        <v>5872</v>
      </c>
      <c r="F605" s="21" t="str">
        <f>HYPERLINK("https://psearch.kitsapgov.com/webappa/index.html?parcelID=1041821&amp;Theme=Imagery","1041821")</f>
        <v>1041821</v>
      </c>
      <c r="G605" s="37" t="s">
        <v>3019</v>
      </c>
      <c r="H605" s="38">
        <v>45369</v>
      </c>
      <c r="I605" s="39">
        <v>250000</v>
      </c>
      <c r="J605" s="40">
        <v>1.01</v>
      </c>
      <c r="K605" s="37" t="s">
        <v>3430</v>
      </c>
      <c r="L605" s="37" t="s">
        <v>4517</v>
      </c>
      <c r="M605" s="37" t="s">
        <v>5873</v>
      </c>
      <c r="N605" s="37" t="s">
        <v>5874</v>
      </c>
    </row>
    <row r="606" spans="1:14" ht="20.100000000000001" customHeight="1" x14ac:dyDescent="0.25">
      <c r="A606" s="36" t="s">
        <v>5871</v>
      </c>
      <c r="B606" s="37" t="s">
        <v>105</v>
      </c>
      <c r="C606" s="36">
        <v>7402390</v>
      </c>
      <c r="D606" s="37" t="s">
        <v>4527</v>
      </c>
      <c r="E606" s="36" t="s">
        <v>5875</v>
      </c>
      <c r="F606" s="21" t="str">
        <f>HYPERLINK("https://psearch.kitsapgov.com/webappa/index.html?parcelID=1041847&amp;Theme=Imagery","1041847")</f>
        <v>1041847</v>
      </c>
      <c r="G606" s="37" t="s">
        <v>3019</v>
      </c>
      <c r="H606" s="38">
        <v>45369</v>
      </c>
      <c r="I606" s="39">
        <v>250000</v>
      </c>
      <c r="J606" s="40">
        <v>1</v>
      </c>
      <c r="K606" s="37" t="s">
        <v>3430</v>
      </c>
      <c r="L606" s="37" t="s">
        <v>4517</v>
      </c>
      <c r="M606" s="37" t="s">
        <v>5873</v>
      </c>
      <c r="N606" s="37" t="s">
        <v>5874</v>
      </c>
    </row>
    <row r="607" spans="1:14" ht="20.100000000000001" customHeight="1" x14ac:dyDescent="0.25">
      <c r="A607" s="36" t="s">
        <v>5871</v>
      </c>
      <c r="B607" s="37" t="s">
        <v>105</v>
      </c>
      <c r="C607" s="36">
        <v>7402390</v>
      </c>
      <c r="D607" s="37" t="s">
        <v>4527</v>
      </c>
      <c r="E607" s="36" t="s">
        <v>5876</v>
      </c>
      <c r="F607" s="21" t="str">
        <f>HYPERLINK("https://psearch.kitsapgov.com/webappa/index.html?parcelID=1041862&amp;Theme=Imagery","1041862")</f>
        <v>1041862</v>
      </c>
      <c r="G607" s="37" t="s">
        <v>3019</v>
      </c>
      <c r="H607" s="38">
        <v>45369</v>
      </c>
      <c r="I607" s="39">
        <v>250000</v>
      </c>
      <c r="J607" s="40">
        <v>0.99</v>
      </c>
      <c r="K607" s="37" t="s">
        <v>3430</v>
      </c>
      <c r="L607" s="37" t="s">
        <v>4517</v>
      </c>
      <c r="M607" s="37" t="s">
        <v>5873</v>
      </c>
      <c r="N607" s="37" t="s">
        <v>5874</v>
      </c>
    </row>
    <row r="608" spans="1:14" ht="20.100000000000001" customHeight="1" x14ac:dyDescent="0.25">
      <c r="A608" s="36" t="s">
        <v>5871</v>
      </c>
      <c r="B608" s="37" t="s">
        <v>105</v>
      </c>
      <c r="C608" s="36">
        <v>8402305</v>
      </c>
      <c r="D608" s="37" t="s">
        <v>452</v>
      </c>
      <c r="E608" s="36" t="s">
        <v>5877</v>
      </c>
      <c r="F608" s="21" t="str">
        <f>HYPERLINK("https://psearch.kitsapgov.com/webappa/index.html?parcelID=2318335&amp;Theme=Imagery","2318335")</f>
        <v>2318335</v>
      </c>
      <c r="G608" s="37" t="s">
        <v>5878</v>
      </c>
      <c r="H608" s="38">
        <v>45369</v>
      </c>
      <c r="I608" s="39">
        <v>250000</v>
      </c>
      <c r="J608" s="40">
        <v>1.17</v>
      </c>
      <c r="K608" s="37" t="s">
        <v>455</v>
      </c>
      <c r="L608" s="37" t="s">
        <v>4517</v>
      </c>
      <c r="M608" s="37" t="s">
        <v>5873</v>
      </c>
      <c r="N608" s="37" t="s">
        <v>5874</v>
      </c>
    </row>
    <row r="609" spans="1:14" ht="20.100000000000001" customHeight="1" x14ac:dyDescent="0.25">
      <c r="A609" s="36" t="s">
        <v>5871</v>
      </c>
      <c r="B609" s="37" t="s">
        <v>105</v>
      </c>
      <c r="C609" s="36">
        <v>8402305</v>
      </c>
      <c r="D609" s="37" t="s">
        <v>452</v>
      </c>
      <c r="E609" s="36" t="s">
        <v>5879</v>
      </c>
      <c r="F609" s="21" t="str">
        <f>HYPERLINK("https://psearch.kitsapgov.com/webappa/index.html?parcelID=2318343&amp;Theme=Imagery","2318343")</f>
        <v>2318343</v>
      </c>
      <c r="G609" s="37" t="s">
        <v>5878</v>
      </c>
      <c r="H609" s="38">
        <v>45369</v>
      </c>
      <c r="I609" s="39">
        <v>250000</v>
      </c>
      <c r="J609" s="40">
        <v>1.58</v>
      </c>
      <c r="K609" s="37" t="s">
        <v>455</v>
      </c>
      <c r="L609" s="37" t="s">
        <v>4517</v>
      </c>
      <c r="M609" s="37" t="s">
        <v>5873</v>
      </c>
      <c r="N609" s="37" t="s">
        <v>5874</v>
      </c>
    </row>
    <row r="610" spans="1:14" ht="20.100000000000001" customHeight="1" x14ac:dyDescent="0.25">
      <c r="A610" s="36" t="s">
        <v>5871</v>
      </c>
      <c r="B610" s="37" t="s">
        <v>105</v>
      </c>
      <c r="C610" s="36">
        <v>8402305</v>
      </c>
      <c r="D610" s="37" t="s">
        <v>452</v>
      </c>
      <c r="E610" s="36" t="s">
        <v>5880</v>
      </c>
      <c r="F610" s="21" t="str">
        <f>HYPERLINK("https://psearch.kitsapgov.com/webappa/index.html?parcelID=2318350&amp;Theme=Imagery","2318350")</f>
        <v>2318350</v>
      </c>
      <c r="G610" s="37" t="s">
        <v>5878</v>
      </c>
      <c r="H610" s="38">
        <v>45369</v>
      </c>
      <c r="I610" s="39">
        <v>250000</v>
      </c>
      <c r="J610" s="40">
        <v>1.01</v>
      </c>
      <c r="K610" s="37" t="s">
        <v>455</v>
      </c>
      <c r="L610" s="37" t="s">
        <v>4517</v>
      </c>
      <c r="M610" s="37" t="s">
        <v>5873</v>
      </c>
      <c r="N610" s="37" t="s">
        <v>5874</v>
      </c>
    </row>
    <row r="611" spans="1:14" ht="20.100000000000001" customHeight="1" x14ac:dyDescent="0.25">
      <c r="A611" s="36" t="s">
        <v>5871</v>
      </c>
      <c r="B611" s="37" t="s">
        <v>105</v>
      </c>
      <c r="C611" s="36">
        <v>8402305</v>
      </c>
      <c r="D611" s="37" t="s">
        <v>452</v>
      </c>
      <c r="E611" s="36" t="s">
        <v>5881</v>
      </c>
      <c r="F611" s="21" t="str">
        <f>HYPERLINK("https://psearch.kitsapgov.com/webappa/index.html?parcelID=2318368&amp;Theme=Imagery","2318368")</f>
        <v>2318368</v>
      </c>
      <c r="G611" s="37" t="s">
        <v>5878</v>
      </c>
      <c r="H611" s="38">
        <v>45369</v>
      </c>
      <c r="I611" s="39">
        <v>250000</v>
      </c>
      <c r="J611" s="40">
        <v>1.1299999999999999</v>
      </c>
      <c r="K611" s="37" t="s">
        <v>455</v>
      </c>
      <c r="L611" s="37" t="s">
        <v>4517</v>
      </c>
      <c r="M611" s="37" t="s">
        <v>5873</v>
      </c>
      <c r="N611" s="37" t="s">
        <v>5874</v>
      </c>
    </row>
    <row r="612" spans="1:14" ht="20.100000000000001" customHeight="1" x14ac:dyDescent="0.25">
      <c r="A612" s="36" t="s">
        <v>5871</v>
      </c>
      <c r="B612" s="37" t="s">
        <v>105</v>
      </c>
      <c r="C612" s="36">
        <v>8402305</v>
      </c>
      <c r="D612" s="37" t="s">
        <v>452</v>
      </c>
      <c r="E612" s="36" t="s">
        <v>5882</v>
      </c>
      <c r="F612" s="21" t="str">
        <f>HYPERLINK("https://psearch.kitsapgov.com/webappa/index.html?parcelID=2318376&amp;Theme=Imagery","2318376")</f>
        <v>2318376</v>
      </c>
      <c r="G612" s="37" t="s">
        <v>5878</v>
      </c>
      <c r="H612" s="38">
        <v>45369</v>
      </c>
      <c r="I612" s="39">
        <v>250000</v>
      </c>
      <c r="J612" s="40">
        <v>1</v>
      </c>
      <c r="K612" s="37" t="s">
        <v>455</v>
      </c>
      <c r="L612" s="37" t="s">
        <v>4517</v>
      </c>
      <c r="M612" s="37" t="s">
        <v>5873</v>
      </c>
      <c r="N612" s="37" t="s">
        <v>5874</v>
      </c>
    </row>
    <row r="613" spans="1:14" ht="20.100000000000001" customHeight="1" x14ac:dyDescent="0.25">
      <c r="A613" s="36" t="s">
        <v>5871</v>
      </c>
      <c r="B613" s="37" t="s">
        <v>105</v>
      </c>
      <c r="C613" s="36">
        <v>8402305</v>
      </c>
      <c r="D613" s="37" t="s">
        <v>452</v>
      </c>
      <c r="E613" s="36" t="s">
        <v>5883</v>
      </c>
      <c r="F613" s="21" t="str">
        <f>HYPERLINK("https://psearch.kitsapgov.com/webappa/index.html?parcelID=2318384&amp;Theme=Imagery","2318384")</f>
        <v>2318384</v>
      </c>
      <c r="G613" s="37" t="s">
        <v>5878</v>
      </c>
      <c r="H613" s="38">
        <v>45369</v>
      </c>
      <c r="I613" s="39">
        <v>250000</v>
      </c>
      <c r="J613" s="40">
        <v>1</v>
      </c>
      <c r="K613" s="37" t="s">
        <v>455</v>
      </c>
      <c r="L613" s="37" t="s">
        <v>4517</v>
      </c>
      <c r="M613" s="37" t="s">
        <v>5873</v>
      </c>
      <c r="N613" s="37" t="s">
        <v>5874</v>
      </c>
    </row>
    <row r="614" spans="1:14" ht="39.950000000000003" customHeight="1" x14ac:dyDescent="0.25">
      <c r="A614" s="36" t="s">
        <v>5884</v>
      </c>
      <c r="B614" s="37" t="s">
        <v>70</v>
      </c>
      <c r="C614" s="36">
        <v>8100502</v>
      </c>
      <c r="D614" s="37" t="s">
        <v>142</v>
      </c>
      <c r="E614" s="36" t="s">
        <v>5885</v>
      </c>
      <c r="F614" s="21" t="str">
        <f>HYPERLINK("https://psearch.kitsapgov.com/webappa/index.html?parcelID=1440940&amp;Theme=Imagery","1440940")</f>
        <v>1440940</v>
      </c>
      <c r="G614" s="37" t="s">
        <v>5886</v>
      </c>
      <c r="H614" s="38">
        <v>45372</v>
      </c>
      <c r="I614" s="39">
        <v>400000</v>
      </c>
      <c r="J614" s="40">
        <v>0.77</v>
      </c>
      <c r="K614" s="37" t="s">
        <v>168</v>
      </c>
      <c r="L614" s="37" t="s">
        <v>4517</v>
      </c>
      <c r="M614" s="37" t="s">
        <v>5887</v>
      </c>
      <c r="N614" s="37" t="s">
        <v>5888</v>
      </c>
    </row>
    <row r="615" spans="1:14" ht="20.100000000000001" customHeight="1" x14ac:dyDescent="0.25">
      <c r="A615" s="36" t="s">
        <v>5884</v>
      </c>
      <c r="B615" s="37" t="s">
        <v>459</v>
      </c>
      <c r="C615" s="36">
        <v>8100502</v>
      </c>
      <c r="D615" s="37" t="s">
        <v>142</v>
      </c>
      <c r="E615" s="36" t="s">
        <v>5889</v>
      </c>
      <c r="F615" s="21" t="str">
        <f>HYPERLINK("https://psearch.kitsapgov.com/webappa/index.html?parcelID=1440957&amp;Theme=Imagery","1440957")</f>
        <v>1440957</v>
      </c>
      <c r="G615" s="37" t="s">
        <v>5890</v>
      </c>
      <c r="H615" s="38">
        <v>45372</v>
      </c>
      <c r="I615" s="39">
        <v>400000</v>
      </c>
      <c r="J615" s="40">
        <v>0.27</v>
      </c>
      <c r="K615" s="37" t="s">
        <v>168</v>
      </c>
      <c r="L615" s="37" t="s">
        <v>4517</v>
      </c>
      <c r="M615" s="37" t="s">
        <v>5887</v>
      </c>
      <c r="N615" s="37" t="s">
        <v>5888</v>
      </c>
    </row>
    <row r="616" spans="1:14" ht="39.950000000000003" customHeight="1" x14ac:dyDescent="0.25">
      <c r="A616" s="36" t="s">
        <v>5891</v>
      </c>
      <c r="B616" s="37" t="s">
        <v>909</v>
      </c>
      <c r="C616" s="36">
        <v>8303601</v>
      </c>
      <c r="D616" s="37" t="s">
        <v>25</v>
      </c>
      <c r="E616" s="36" t="s">
        <v>4759</v>
      </c>
      <c r="F616" s="21" t="str">
        <f>HYPERLINK("https://psearch.kitsapgov.com/webappa/index.html?parcelID=2434181&amp;Theme=Imagery","2434181")</f>
        <v>2434181</v>
      </c>
      <c r="G616" s="37" t="s">
        <v>4760</v>
      </c>
      <c r="H616" s="38">
        <v>45380</v>
      </c>
      <c r="I616" s="39">
        <v>399700</v>
      </c>
      <c r="J616" s="40">
        <v>4.9800000000000004</v>
      </c>
      <c r="K616" s="37" t="s">
        <v>421</v>
      </c>
      <c r="L616" s="37" t="s">
        <v>944</v>
      </c>
      <c r="M616" s="37" t="s">
        <v>5892</v>
      </c>
      <c r="N616" s="37" t="s">
        <v>5893</v>
      </c>
    </row>
    <row r="617" spans="1:14" ht="20.100000000000001" customHeight="1" x14ac:dyDescent="0.25">
      <c r="A617" s="36" t="s">
        <v>5891</v>
      </c>
      <c r="B617" s="37" t="s">
        <v>4603</v>
      </c>
      <c r="C617" s="36">
        <v>7303604</v>
      </c>
      <c r="D617" s="37" t="s">
        <v>4763</v>
      </c>
      <c r="E617" s="36" t="s">
        <v>5894</v>
      </c>
      <c r="F617" s="21" t="str">
        <f>HYPERLINK("https://psearch.kitsapgov.com/webappa/index.html?parcelID=1887900&amp;Theme=Imagery","1887900")</f>
        <v>1887900</v>
      </c>
      <c r="G617" s="37" t="s">
        <v>3019</v>
      </c>
      <c r="H617" s="38">
        <v>45380</v>
      </c>
      <c r="I617" s="39">
        <v>399700</v>
      </c>
      <c r="J617" s="40">
        <v>0</v>
      </c>
      <c r="L617" s="37" t="s">
        <v>944</v>
      </c>
      <c r="M617" s="37" t="s">
        <v>5892</v>
      </c>
      <c r="N617" s="37" t="s">
        <v>5893</v>
      </c>
    </row>
    <row r="618" spans="1:14" ht="39.950000000000003" customHeight="1" x14ac:dyDescent="0.25">
      <c r="A618" s="36" t="s">
        <v>5895</v>
      </c>
      <c r="B618" s="37" t="s">
        <v>105</v>
      </c>
      <c r="C618" s="36">
        <v>8402306</v>
      </c>
      <c r="D618" s="37" t="s">
        <v>621</v>
      </c>
      <c r="E618" s="36" t="s">
        <v>5896</v>
      </c>
      <c r="F618" s="21" t="str">
        <f>HYPERLINK("https://psearch.kitsapgov.com/webappa/index.html?parcelID=1161421&amp;Theme=Imagery","1161421")</f>
        <v>1161421</v>
      </c>
      <c r="G618" s="37" t="s">
        <v>5897</v>
      </c>
      <c r="H618" s="38">
        <v>45380</v>
      </c>
      <c r="I618" s="39">
        <v>1300000</v>
      </c>
      <c r="J618" s="40">
        <v>0.74</v>
      </c>
      <c r="K618" s="37" t="s">
        <v>515</v>
      </c>
      <c r="L618" s="37" t="s">
        <v>4517</v>
      </c>
      <c r="M618" s="37" t="s">
        <v>5898</v>
      </c>
      <c r="N618" s="37" t="s">
        <v>5899</v>
      </c>
    </row>
    <row r="619" spans="1:14" ht="20.100000000000001" customHeight="1" x14ac:dyDescent="0.25">
      <c r="A619" s="36" t="s">
        <v>5895</v>
      </c>
      <c r="B619" s="37" t="s">
        <v>62</v>
      </c>
      <c r="C619" s="36">
        <v>8402306</v>
      </c>
      <c r="D619" s="37" t="s">
        <v>621</v>
      </c>
      <c r="E619" s="36" t="s">
        <v>5900</v>
      </c>
      <c r="F619" s="21" t="str">
        <f>HYPERLINK("https://psearch.kitsapgov.com/webappa/index.html?parcelID=1161439&amp;Theme=Imagery","1161439")</f>
        <v>1161439</v>
      </c>
      <c r="G619" s="37" t="s">
        <v>5901</v>
      </c>
      <c r="H619" s="38">
        <v>45380</v>
      </c>
      <c r="I619" s="39">
        <v>1300000</v>
      </c>
      <c r="J619" s="40">
        <v>0.81</v>
      </c>
      <c r="K619" s="37" t="s">
        <v>515</v>
      </c>
      <c r="L619" s="37" t="s">
        <v>38</v>
      </c>
      <c r="M619" s="37" t="s">
        <v>5898</v>
      </c>
      <c r="N619" s="37" t="s">
        <v>5899</v>
      </c>
    </row>
    <row r="620" spans="1:14" ht="20.100000000000001" customHeight="1" x14ac:dyDescent="0.25">
      <c r="A620" s="36" t="s">
        <v>5895</v>
      </c>
      <c r="B620" s="37" t="s">
        <v>105</v>
      </c>
      <c r="C620" s="36">
        <v>7402395</v>
      </c>
      <c r="D620" s="37" t="s">
        <v>5792</v>
      </c>
      <c r="E620" s="36" t="s">
        <v>5902</v>
      </c>
      <c r="F620" s="21" t="str">
        <f>HYPERLINK("https://psearch.kitsapgov.com/webappa/index.html?parcelID=1161827&amp;Theme=Imagery","1161827")</f>
        <v>1161827</v>
      </c>
      <c r="G620" s="37" t="s">
        <v>5903</v>
      </c>
      <c r="H620" s="38">
        <v>45380</v>
      </c>
      <c r="I620" s="39">
        <v>1300000</v>
      </c>
      <c r="J620" s="40">
        <v>1.67</v>
      </c>
      <c r="K620" s="37" t="s">
        <v>4673</v>
      </c>
      <c r="L620" s="37" t="s">
        <v>4517</v>
      </c>
      <c r="M620" s="37" t="s">
        <v>5898</v>
      </c>
      <c r="N620" s="37" t="s">
        <v>5899</v>
      </c>
    </row>
    <row r="621" spans="1:14" ht="39.950000000000003" customHeight="1" x14ac:dyDescent="0.25">
      <c r="A621" s="36" t="s">
        <v>5904</v>
      </c>
      <c r="B621" s="37" t="s">
        <v>105</v>
      </c>
      <c r="C621" s="36">
        <v>8401104</v>
      </c>
      <c r="D621" s="37" t="s">
        <v>241</v>
      </c>
      <c r="E621" s="36" t="s">
        <v>5905</v>
      </c>
      <c r="F621" s="21" t="str">
        <f>HYPERLINK("https://psearch.kitsapgov.com/webappa/index.html?parcelID=2444966&amp;Theme=Imagery","2444966")</f>
        <v>2444966</v>
      </c>
      <c r="G621" s="37" t="s">
        <v>5906</v>
      </c>
      <c r="H621" s="38">
        <v>45390</v>
      </c>
      <c r="I621" s="39">
        <v>440000</v>
      </c>
      <c r="J621" s="40">
        <v>6.14</v>
      </c>
      <c r="K621" s="37" t="s">
        <v>492</v>
      </c>
      <c r="L621" s="37" t="s">
        <v>4517</v>
      </c>
      <c r="M621" s="37" t="s">
        <v>5907</v>
      </c>
      <c r="N621" s="37" t="s">
        <v>5908</v>
      </c>
    </row>
    <row r="622" spans="1:14" ht="20.100000000000001" customHeight="1" x14ac:dyDescent="0.25">
      <c r="A622" s="36" t="s">
        <v>5904</v>
      </c>
      <c r="B622" s="37" t="s">
        <v>105</v>
      </c>
      <c r="C622" s="36">
        <v>8401104</v>
      </c>
      <c r="D622" s="37" t="s">
        <v>241</v>
      </c>
      <c r="E622" s="36" t="s">
        <v>5909</v>
      </c>
      <c r="F622" s="21" t="str">
        <f>HYPERLINK("https://psearch.kitsapgov.com/webappa/index.html?parcelID=2444974&amp;Theme=Imagery","2444974")</f>
        <v>2444974</v>
      </c>
      <c r="G622" s="37" t="s">
        <v>5906</v>
      </c>
      <c r="H622" s="38">
        <v>45390</v>
      </c>
      <c r="I622" s="39">
        <v>440000</v>
      </c>
      <c r="J622" s="40">
        <v>22.94</v>
      </c>
      <c r="K622" s="37" t="s">
        <v>492</v>
      </c>
      <c r="L622" s="37" t="s">
        <v>4517</v>
      </c>
      <c r="M622" s="37" t="s">
        <v>5907</v>
      </c>
      <c r="N622" s="37" t="s">
        <v>5908</v>
      </c>
    </row>
    <row r="623" spans="1:14" ht="39.950000000000003" customHeight="1" x14ac:dyDescent="0.25">
      <c r="A623" s="36" t="s">
        <v>5910</v>
      </c>
      <c r="B623" s="37" t="s">
        <v>24</v>
      </c>
      <c r="C623" s="36">
        <v>8401102</v>
      </c>
      <c r="D623" s="37" t="s">
        <v>17</v>
      </c>
      <c r="E623" s="36" t="s">
        <v>5911</v>
      </c>
      <c r="F623" s="21" t="str">
        <f>HYPERLINK("https://psearch.kitsapgov.com/webappa/index.html?parcelID=2512820&amp;Theme=Imagery","2512820")</f>
        <v>2512820</v>
      </c>
      <c r="G623" s="37" t="s">
        <v>5912</v>
      </c>
      <c r="H623" s="38">
        <v>45401</v>
      </c>
      <c r="I623" s="39">
        <v>775000</v>
      </c>
      <c r="J623" s="40">
        <v>0.18</v>
      </c>
      <c r="K623" s="37" t="s">
        <v>308</v>
      </c>
      <c r="L623" s="37" t="s">
        <v>4517</v>
      </c>
      <c r="M623" s="37" t="s">
        <v>5913</v>
      </c>
      <c r="N623" s="37" t="s">
        <v>5914</v>
      </c>
    </row>
    <row r="624" spans="1:14" ht="20.100000000000001" customHeight="1" x14ac:dyDescent="0.25">
      <c r="A624" s="36" t="s">
        <v>5910</v>
      </c>
      <c r="B624" s="37" t="s">
        <v>105</v>
      </c>
      <c r="C624" s="36">
        <v>8401102</v>
      </c>
      <c r="D624" s="37" t="s">
        <v>17</v>
      </c>
      <c r="E624" s="36" t="s">
        <v>5915</v>
      </c>
      <c r="F624" s="21" t="str">
        <f>HYPERLINK("https://psearch.kitsapgov.com/webappa/index.html?parcelID=2512838&amp;Theme=Imagery","2512838")</f>
        <v>2512838</v>
      </c>
      <c r="G624" s="37" t="s">
        <v>5916</v>
      </c>
      <c r="H624" s="38">
        <v>45401</v>
      </c>
      <c r="I624" s="39">
        <v>775000</v>
      </c>
      <c r="J624" s="40">
        <v>0.97</v>
      </c>
      <c r="K624" s="37" t="s">
        <v>308</v>
      </c>
      <c r="L624" s="37" t="s">
        <v>4517</v>
      </c>
      <c r="M624" s="37" t="s">
        <v>5913</v>
      </c>
      <c r="N624" s="37" t="s">
        <v>5914</v>
      </c>
    </row>
    <row r="625" spans="1:14" ht="39.950000000000003" customHeight="1" x14ac:dyDescent="0.25">
      <c r="A625" s="36" t="s">
        <v>5917</v>
      </c>
      <c r="B625" s="37" t="s">
        <v>78</v>
      </c>
      <c r="C625" s="36">
        <v>8401104</v>
      </c>
      <c r="D625" s="37" t="s">
        <v>241</v>
      </c>
      <c r="E625" s="36" t="s">
        <v>5918</v>
      </c>
      <c r="F625" s="21" t="str">
        <f>HYPERLINK("https://psearch.kitsapgov.com/webappa/index.html?parcelID=1116524&amp;Theme=Imagery","1116524")</f>
        <v>1116524</v>
      </c>
      <c r="G625" s="37" t="s">
        <v>5919</v>
      </c>
      <c r="H625" s="38">
        <v>45399</v>
      </c>
      <c r="I625" s="39">
        <v>485000</v>
      </c>
      <c r="J625" s="40">
        <v>1.28</v>
      </c>
      <c r="K625" s="37" t="s">
        <v>82</v>
      </c>
      <c r="L625" s="37" t="s">
        <v>4517</v>
      </c>
      <c r="M625" s="37" t="s">
        <v>5920</v>
      </c>
      <c r="N625" s="37" t="s">
        <v>5921</v>
      </c>
    </row>
    <row r="626" spans="1:14" ht="20.100000000000001" customHeight="1" x14ac:dyDescent="0.25">
      <c r="A626" s="36" t="s">
        <v>5917</v>
      </c>
      <c r="B626" s="37" t="s">
        <v>105</v>
      </c>
      <c r="C626" s="36">
        <v>8401104</v>
      </c>
      <c r="D626" s="37" t="s">
        <v>241</v>
      </c>
      <c r="E626" s="36" t="s">
        <v>5922</v>
      </c>
      <c r="F626" s="21" t="str">
        <f>HYPERLINK("https://psearch.kitsapgov.com/webappa/index.html?parcelID=1123108&amp;Theme=Imagery","1123108")</f>
        <v>1123108</v>
      </c>
      <c r="G626" s="37" t="s">
        <v>5923</v>
      </c>
      <c r="H626" s="38">
        <v>45399</v>
      </c>
      <c r="I626" s="39">
        <v>485000</v>
      </c>
      <c r="J626" s="40">
        <v>0.71</v>
      </c>
      <c r="K626" s="37" t="s">
        <v>82</v>
      </c>
      <c r="L626" s="37" t="s">
        <v>4517</v>
      </c>
      <c r="M626" s="37" t="s">
        <v>5920</v>
      </c>
      <c r="N626" s="37" t="s">
        <v>5921</v>
      </c>
    </row>
    <row r="627" spans="1:14" ht="39.950000000000003" customHeight="1" x14ac:dyDescent="0.25">
      <c r="A627" s="36" t="s">
        <v>5924</v>
      </c>
      <c r="B627" s="37" t="s">
        <v>159</v>
      </c>
      <c r="C627" s="36">
        <v>8100502</v>
      </c>
      <c r="D627" s="37" t="s">
        <v>142</v>
      </c>
      <c r="E627" s="36" t="s">
        <v>5925</v>
      </c>
      <c r="F627" s="21" t="str">
        <f>HYPERLINK("https://psearch.kitsapgov.com/webappa/index.html?parcelID=1144419&amp;Theme=Imagery","1144419")</f>
        <v>1144419</v>
      </c>
      <c r="G627" s="37" t="s">
        <v>5926</v>
      </c>
      <c r="H627" s="38">
        <v>45399</v>
      </c>
      <c r="I627" s="39">
        <v>517500</v>
      </c>
      <c r="J627" s="40">
        <v>0.1</v>
      </c>
      <c r="K627" s="37" t="s">
        <v>980</v>
      </c>
      <c r="L627" s="37" t="s">
        <v>4517</v>
      </c>
      <c r="M627" s="37" t="s">
        <v>5927</v>
      </c>
      <c r="N627" s="37" t="s">
        <v>5928</v>
      </c>
    </row>
    <row r="628" spans="1:14" ht="20.100000000000001" customHeight="1" x14ac:dyDescent="0.25">
      <c r="A628" s="36" t="s">
        <v>5924</v>
      </c>
      <c r="B628" s="37" t="s">
        <v>459</v>
      </c>
      <c r="C628" s="36">
        <v>8100502</v>
      </c>
      <c r="D628" s="37" t="s">
        <v>142</v>
      </c>
      <c r="E628" s="36" t="s">
        <v>5929</v>
      </c>
      <c r="F628" s="21" t="str">
        <f>HYPERLINK("https://psearch.kitsapgov.com/webappa/index.html?parcelID=1145499&amp;Theme=Imagery","1145499")</f>
        <v>1145499</v>
      </c>
      <c r="G628" s="37" t="s">
        <v>5930</v>
      </c>
      <c r="H628" s="38">
        <v>45399</v>
      </c>
      <c r="I628" s="39">
        <v>517500</v>
      </c>
      <c r="J628" s="40">
        <v>0.12</v>
      </c>
      <c r="K628" s="37" t="s">
        <v>980</v>
      </c>
      <c r="L628" s="37" t="s">
        <v>4517</v>
      </c>
      <c r="M628" s="37" t="s">
        <v>5927</v>
      </c>
      <c r="N628" s="37" t="s">
        <v>5928</v>
      </c>
    </row>
    <row r="629" spans="1:14" ht="39.950000000000003" customHeight="1" x14ac:dyDescent="0.25">
      <c r="A629" s="36" t="s">
        <v>5931</v>
      </c>
      <c r="B629" s="37" t="s">
        <v>105</v>
      </c>
      <c r="C629" s="36">
        <v>9402390</v>
      </c>
      <c r="D629" s="37" t="s">
        <v>173</v>
      </c>
      <c r="E629" s="36" t="s">
        <v>4874</v>
      </c>
      <c r="F629" s="21" t="str">
        <f>HYPERLINK("https://psearch.kitsapgov.com/webappa/index.html?parcelID=2049716&amp;Theme=Imagery","2049716")</f>
        <v>2049716</v>
      </c>
      <c r="G629" s="37" t="s">
        <v>4875</v>
      </c>
      <c r="H629" s="38">
        <v>45415</v>
      </c>
      <c r="I629" s="39">
        <v>7675000</v>
      </c>
      <c r="J629" s="40">
        <v>0.28000000000000003</v>
      </c>
      <c r="K629" s="37" t="s">
        <v>912</v>
      </c>
      <c r="L629" s="37" t="s">
        <v>4552</v>
      </c>
      <c r="M629" s="37" t="s">
        <v>1447</v>
      </c>
      <c r="N629" s="37" t="s">
        <v>5932</v>
      </c>
    </row>
    <row r="630" spans="1:14" ht="20.100000000000001" customHeight="1" x14ac:dyDescent="0.25">
      <c r="A630" s="36" t="s">
        <v>5931</v>
      </c>
      <c r="B630" s="37" t="s">
        <v>512</v>
      </c>
      <c r="C630" s="36">
        <v>9402390</v>
      </c>
      <c r="D630" s="37" t="s">
        <v>173</v>
      </c>
      <c r="E630" s="36" t="s">
        <v>4877</v>
      </c>
      <c r="F630" s="21" t="str">
        <f>HYPERLINK("https://psearch.kitsapgov.com/webappa/index.html?parcelID=2049724&amp;Theme=Imagery","2049724")</f>
        <v>2049724</v>
      </c>
      <c r="G630" s="37" t="s">
        <v>4878</v>
      </c>
      <c r="H630" s="38">
        <v>45415</v>
      </c>
      <c r="I630" s="39">
        <v>7675000</v>
      </c>
      <c r="J630" s="40">
        <v>1.69</v>
      </c>
      <c r="K630" s="37" t="s">
        <v>912</v>
      </c>
      <c r="L630" s="37" t="s">
        <v>4552</v>
      </c>
      <c r="M630" s="37" t="s">
        <v>1447</v>
      </c>
      <c r="N630" s="37" t="s">
        <v>5932</v>
      </c>
    </row>
    <row r="631" spans="1:14" ht="39.950000000000003" customHeight="1" x14ac:dyDescent="0.25">
      <c r="A631" s="36" t="s">
        <v>5933</v>
      </c>
      <c r="B631" s="37" t="s">
        <v>615</v>
      </c>
      <c r="C631" s="36">
        <v>9402390</v>
      </c>
      <c r="D631" s="37" t="s">
        <v>173</v>
      </c>
      <c r="E631" s="36" t="s">
        <v>1449</v>
      </c>
      <c r="F631" s="21" t="str">
        <f>HYPERLINK("https://psearch.kitsapgov.com/webappa/index.html?parcelID=1719327&amp;Theme=Imagery","1719327")</f>
        <v>1719327</v>
      </c>
      <c r="G631" s="37" t="s">
        <v>1450</v>
      </c>
      <c r="H631" s="38">
        <v>45415</v>
      </c>
      <c r="I631" s="39">
        <v>10825000</v>
      </c>
      <c r="J631" s="40">
        <v>1.62</v>
      </c>
      <c r="K631" s="37" t="s">
        <v>912</v>
      </c>
      <c r="L631" s="37" t="s">
        <v>4552</v>
      </c>
      <c r="M631" s="37" t="s">
        <v>1447</v>
      </c>
      <c r="N631" s="37" t="s">
        <v>5934</v>
      </c>
    </row>
    <row r="632" spans="1:14" ht="20.100000000000001" customHeight="1" x14ac:dyDescent="0.25">
      <c r="A632" s="36" t="s">
        <v>5933</v>
      </c>
      <c r="B632" s="37" t="s">
        <v>765</v>
      </c>
      <c r="C632" s="36">
        <v>9402390</v>
      </c>
      <c r="D632" s="37" t="s">
        <v>173</v>
      </c>
      <c r="E632" s="36" t="s">
        <v>1444</v>
      </c>
      <c r="F632" s="21" t="str">
        <f>HYPERLINK("https://psearch.kitsapgov.com/webappa/index.html?parcelID=2033959&amp;Theme=Imagery","2033959")</f>
        <v>2033959</v>
      </c>
      <c r="G632" s="37" t="s">
        <v>1445</v>
      </c>
      <c r="H632" s="38">
        <v>45415</v>
      </c>
      <c r="I632" s="39">
        <v>10825000</v>
      </c>
      <c r="J632" s="40">
        <v>2.42</v>
      </c>
      <c r="K632" s="37" t="s">
        <v>912</v>
      </c>
      <c r="L632" s="37" t="s">
        <v>4552</v>
      </c>
      <c r="M632" s="37" t="s">
        <v>1447</v>
      </c>
      <c r="N632" s="37" t="s">
        <v>5934</v>
      </c>
    </row>
    <row r="633" spans="1:14" ht="39.950000000000003" customHeight="1" x14ac:dyDescent="0.25">
      <c r="A633" s="36" t="s">
        <v>5935</v>
      </c>
      <c r="B633" s="37" t="s">
        <v>533</v>
      </c>
      <c r="C633" s="36">
        <v>9100542</v>
      </c>
      <c r="D633" s="37" t="s">
        <v>360</v>
      </c>
      <c r="E633" s="36" t="s">
        <v>5344</v>
      </c>
      <c r="F633" s="21" t="str">
        <f>HYPERLINK("https://psearch.kitsapgov.com/webappa/index.html?parcelID=1486950&amp;Theme=Imagery","1486950")</f>
        <v>1486950</v>
      </c>
      <c r="G633" s="37" t="s">
        <v>5345</v>
      </c>
      <c r="H633" s="38">
        <v>45421</v>
      </c>
      <c r="I633" s="39">
        <v>2700000</v>
      </c>
      <c r="J633" s="40">
        <v>0.45</v>
      </c>
      <c r="K633" s="37" t="s">
        <v>814</v>
      </c>
      <c r="L633" s="37" t="s">
        <v>4552</v>
      </c>
      <c r="M633" s="37" t="s">
        <v>5936</v>
      </c>
      <c r="N633" s="37" t="s">
        <v>5937</v>
      </c>
    </row>
    <row r="634" spans="1:14" ht="20.100000000000001" customHeight="1" x14ac:dyDescent="0.25">
      <c r="A634" s="36" t="s">
        <v>5935</v>
      </c>
      <c r="B634" s="37" t="s">
        <v>533</v>
      </c>
      <c r="C634" s="36">
        <v>9100542</v>
      </c>
      <c r="D634" s="37" t="s">
        <v>360</v>
      </c>
      <c r="E634" s="36" t="s">
        <v>5349</v>
      </c>
      <c r="F634" s="21" t="str">
        <f>HYPERLINK("https://psearch.kitsapgov.com/webappa/index.html?parcelID=1487131&amp;Theme=Imagery","1487131")</f>
        <v>1487131</v>
      </c>
      <c r="G634" s="37" t="s">
        <v>5350</v>
      </c>
      <c r="H634" s="38">
        <v>45421</v>
      </c>
      <c r="I634" s="39">
        <v>2700000</v>
      </c>
      <c r="J634" s="40">
        <v>0.21</v>
      </c>
      <c r="K634" s="37" t="s">
        <v>814</v>
      </c>
      <c r="L634" s="37" t="s">
        <v>4552</v>
      </c>
      <c r="M634" s="37" t="s">
        <v>5936</v>
      </c>
      <c r="N634" s="37" t="s">
        <v>5937</v>
      </c>
    </row>
    <row r="635" spans="1:14" ht="39.950000000000003" customHeight="1" x14ac:dyDescent="0.25">
      <c r="A635" s="36" t="s">
        <v>5938</v>
      </c>
      <c r="B635" s="37" t="s">
        <v>105</v>
      </c>
      <c r="C635" s="36">
        <v>8401508</v>
      </c>
      <c r="D635" s="37" t="s">
        <v>1341</v>
      </c>
      <c r="E635" s="36" t="s">
        <v>5939</v>
      </c>
      <c r="F635" s="21" t="str">
        <f>HYPERLINK("https://psearch.kitsapgov.com/webappa/index.html?parcelID=2164333&amp;Theme=Imagery","2164333")</f>
        <v>2164333</v>
      </c>
      <c r="G635" s="37" t="s">
        <v>5940</v>
      </c>
      <c r="H635" s="38">
        <v>45427</v>
      </c>
      <c r="I635" s="39">
        <v>160000</v>
      </c>
      <c r="J635" s="40">
        <v>0.2</v>
      </c>
      <c r="K635" s="37" t="s">
        <v>37</v>
      </c>
      <c r="L635" s="37" t="s">
        <v>4517</v>
      </c>
      <c r="M635" s="37" t="s">
        <v>5941</v>
      </c>
      <c r="N635" s="37" t="s">
        <v>5942</v>
      </c>
    </row>
    <row r="636" spans="1:14" ht="20.100000000000001" customHeight="1" x14ac:dyDescent="0.25">
      <c r="A636" s="36" t="s">
        <v>5938</v>
      </c>
      <c r="B636" s="37" t="s">
        <v>105</v>
      </c>
      <c r="C636" s="36">
        <v>8401508</v>
      </c>
      <c r="D636" s="37" t="s">
        <v>1341</v>
      </c>
      <c r="E636" s="36" t="s">
        <v>5943</v>
      </c>
      <c r="F636" s="21" t="str">
        <f>HYPERLINK("https://psearch.kitsapgov.com/webappa/index.html?parcelID=2164341&amp;Theme=Imagery","2164341")</f>
        <v>2164341</v>
      </c>
      <c r="G636" s="37" t="s">
        <v>5940</v>
      </c>
      <c r="H636" s="38">
        <v>45427</v>
      </c>
      <c r="I636" s="39">
        <v>160000</v>
      </c>
      <c r="J636" s="40">
        <v>0.2</v>
      </c>
      <c r="K636" s="37" t="s">
        <v>37</v>
      </c>
      <c r="L636" s="37" t="s">
        <v>4517</v>
      </c>
      <c r="M636" s="37" t="s">
        <v>5941</v>
      </c>
      <c r="N636" s="37" t="s">
        <v>5942</v>
      </c>
    </row>
    <row r="637" spans="1:14" ht="39.950000000000003" customHeight="1" x14ac:dyDescent="0.25">
      <c r="A637" s="36" t="s">
        <v>5944</v>
      </c>
      <c r="B637" s="37" t="s">
        <v>78</v>
      </c>
      <c r="C637" s="36">
        <v>7100541</v>
      </c>
      <c r="D637" s="37" t="s">
        <v>4507</v>
      </c>
      <c r="E637" s="36" t="s">
        <v>5945</v>
      </c>
      <c r="F637" s="21" t="str">
        <f>HYPERLINK("https://psearch.kitsapgov.com/webappa/index.html?parcelID=1139419&amp;Theme=Imagery","1139419")</f>
        <v>1139419</v>
      </c>
      <c r="G637" s="37" t="s">
        <v>3019</v>
      </c>
      <c r="H637" s="38">
        <v>45421</v>
      </c>
      <c r="I637" s="39">
        <v>3650000</v>
      </c>
      <c r="J637" s="40">
        <v>7.0000000000000007E-2</v>
      </c>
      <c r="L637" s="37" t="s">
        <v>4517</v>
      </c>
      <c r="M637" s="37" t="s">
        <v>5946</v>
      </c>
      <c r="N637" s="37" t="s">
        <v>5947</v>
      </c>
    </row>
    <row r="638" spans="1:14" ht="20.100000000000001" customHeight="1" x14ac:dyDescent="0.25">
      <c r="A638" s="36" t="s">
        <v>5944</v>
      </c>
      <c r="B638" s="37" t="s">
        <v>78</v>
      </c>
      <c r="C638" s="36">
        <v>7100541</v>
      </c>
      <c r="D638" s="37" t="s">
        <v>4507</v>
      </c>
      <c r="E638" s="36" t="s">
        <v>5948</v>
      </c>
      <c r="F638" s="21" t="str">
        <f>HYPERLINK("https://psearch.kitsapgov.com/webappa/index.html?parcelID=1139427&amp;Theme=Imagery","1139427")</f>
        <v>1139427</v>
      </c>
      <c r="G638" s="37" t="s">
        <v>3019</v>
      </c>
      <c r="H638" s="38">
        <v>45421</v>
      </c>
      <c r="I638" s="39">
        <v>3650000</v>
      </c>
      <c r="J638" s="40">
        <v>7.0000000000000007E-2</v>
      </c>
      <c r="L638" s="37" t="s">
        <v>4517</v>
      </c>
      <c r="M638" s="37" t="s">
        <v>5946</v>
      </c>
      <c r="N638" s="37" t="s">
        <v>5947</v>
      </c>
    </row>
    <row r="639" spans="1:14" ht="20.100000000000001" customHeight="1" x14ac:dyDescent="0.25">
      <c r="A639" s="36" t="s">
        <v>5944</v>
      </c>
      <c r="B639" s="37" t="s">
        <v>533</v>
      </c>
      <c r="C639" s="36">
        <v>9100541</v>
      </c>
      <c r="D639" s="37" t="s">
        <v>186</v>
      </c>
      <c r="E639" s="36" t="s">
        <v>5949</v>
      </c>
      <c r="F639" s="21" t="str">
        <f>HYPERLINK("https://psearch.kitsapgov.com/webappa/index.html?parcelID=1139765&amp;Theme=Imagery","1139765")</f>
        <v>1139765</v>
      </c>
      <c r="G639" s="37" t="s">
        <v>5950</v>
      </c>
      <c r="H639" s="38">
        <v>45421</v>
      </c>
      <c r="I639" s="39">
        <v>3650000</v>
      </c>
      <c r="J639" s="40">
        <v>0.17</v>
      </c>
      <c r="K639" s="37" t="s">
        <v>349</v>
      </c>
      <c r="L639" s="37" t="s">
        <v>4517</v>
      </c>
      <c r="M639" s="37" t="s">
        <v>5946</v>
      </c>
      <c r="N639" s="37" t="s">
        <v>5947</v>
      </c>
    </row>
    <row r="640" spans="1:14" ht="20.100000000000001" customHeight="1" x14ac:dyDescent="0.25">
      <c r="A640" s="36" t="s">
        <v>5944</v>
      </c>
      <c r="B640" s="37" t="s">
        <v>533</v>
      </c>
      <c r="C640" s="36">
        <v>9100541</v>
      </c>
      <c r="D640" s="37" t="s">
        <v>186</v>
      </c>
      <c r="E640" s="36" t="s">
        <v>5951</v>
      </c>
      <c r="F640" s="21" t="str">
        <f>HYPERLINK("https://psearch.kitsapgov.com/webappa/index.html?parcelID=1139773&amp;Theme=Imagery","1139773")</f>
        <v>1139773</v>
      </c>
      <c r="G640" s="37" t="s">
        <v>5952</v>
      </c>
      <c r="H640" s="38">
        <v>45421</v>
      </c>
      <c r="I640" s="39">
        <v>3650000</v>
      </c>
      <c r="J640" s="40">
        <v>0.1</v>
      </c>
      <c r="K640" s="37" t="s">
        <v>349</v>
      </c>
      <c r="L640" s="37" t="s">
        <v>4517</v>
      </c>
      <c r="M640" s="37" t="s">
        <v>5946</v>
      </c>
      <c r="N640" s="37" t="s">
        <v>5947</v>
      </c>
    </row>
    <row r="641" spans="1:14" ht="20.100000000000001" customHeight="1" x14ac:dyDescent="0.25">
      <c r="A641" s="36" t="s">
        <v>5944</v>
      </c>
      <c r="B641" s="37" t="s">
        <v>78</v>
      </c>
      <c r="C641" s="36">
        <v>7100541</v>
      </c>
      <c r="D641" s="37" t="s">
        <v>4507</v>
      </c>
      <c r="E641" s="36" t="s">
        <v>5953</v>
      </c>
      <c r="F641" s="21" t="str">
        <f>HYPERLINK("https://psearch.kitsapgov.com/webappa/index.html?parcelID=1139781&amp;Theme=Imagery","1139781")</f>
        <v>1139781</v>
      </c>
      <c r="G641" s="37" t="s">
        <v>3019</v>
      </c>
      <c r="H641" s="38">
        <v>45421</v>
      </c>
      <c r="I641" s="39">
        <v>3650000</v>
      </c>
      <c r="J641" s="40">
        <v>7.0000000000000007E-2</v>
      </c>
      <c r="L641" s="37" t="s">
        <v>4517</v>
      </c>
      <c r="M641" s="37" t="s">
        <v>5946</v>
      </c>
      <c r="N641" s="37" t="s">
        <v>5947</v>
      </c>
    </row>
    <row r="642" spans="1:14" ht="20.100000000000001" customHeight="1" x14ac:dyDescent="0.25">
      <c r="A642" s="36" t="s">
        <v>5944</v>
      </c>
      <c r="B642" s="37" t="s">
        <v>172</v>
      </c>
      <c r="C642" s="36">
        <v>9100541</v>
      </c>
      <c r="D642" s="37" t="s">
        <v>186</v>
      </c>
      <c r="E642" s="36" t="s">
        <v>5954</v>
      </c>
      <c r="F642" s="21" t="str">
        <f>HYPERLINK("https://psearch.kitsapgov.com/webappa/index.html?parcelID=2171395&amp;Theme=Imagery","2171395")</f>
        <v>2171395</v>
      </c>
      <c r="G642" s="37" t="s">
        <v>5955</v>
      </c>
      <c r="H642" s="38">
        <v>45421</v>
      </c>
      <c r="I642" s="39">
        <v>3650000</v>
      </c>
      <c r="J642" s="40">
        <v>0.21</v>
      </c>
      <c r="K642" s="37" t="s">
        <v>349</v>
      </c>
      <c r="L642" s="37" t="s">
        <v>4517</v>
      </c>
      <c r="M642" s="37" t="s">
        <v>5946</v>
      </c>
      <c r="N642" s="37" t="s">
        <v>5947</v>
      </c>
    </row>
    <row r="643" spans="1:14" ht="20.100000000000001" customHeight="1" x14ac:dyDescent="0.25">
      <c r="A643" s="36" t="s">
        <v>5944</v>
      </c>
      <c r="B643" s="37" t="s">
        <v>459</v>
      </c>
      <c r="C643" s="36">
        <v>9100541</v>
      </c>
      <c r="D643" s="37" t="s">
        <v>186</v>
      </c>
      <c r="E643" s="36" t="s">
        <v>5956</v>
      </c>
      <c r="F643" s="21" t="str">
        <f>HYPERLINK("https://psearch.kitsapgov.com/webappa/index.html?parcelID=2432466&amp;Theme=Imagery","2432466")</f>
        <v>2432466</v>
      </c>
      <c r="G643" s="37" t="s">
        <v>5957</v>
      </c>
      <c r="H643" s="38">
        <v>45421</v>
      </c>
      <c r="I643" s="39">
        <v>3650000</v>
      </c>
      <c r="J643" s="40">
        <v>0.13</v>
      </c>
      <c r="K643" s="37" t="s">
        <v>349</v>
      </c>
      <c r="L643" s="37" t="s">
        <v>4517</v>
      </c>
      <c r="M643" s="37" t="s">
        <v>5946</v>
      </c>
      <c r="N643" s="37" t="s">
        <v>5947</v>
      </c>
    </row>
    <row r="644" spans="1:14" ht="39.950000000000003" customHeight="1" x14ac:dyDescent="0.25">
      <c r="A644" s="36" t="s">
        <v>5958</v>
      </c>
      <c r="B644" s="37" t="s">
        <v>62</v>
      </c>
      <c r="C644" s="36">
        <v>9303606</v>
      </c>
      <c r="D644" s="37" t="s">
        <v>4048</v>
      </c>
      <c r="E644" s="36" t="s">
        <v>4049</v>
      </c>
      <c r="F644" s="21" t="str">
        <f>HYPERLINK("https://psearch.kitsapgov.com/webappa/index.html?parcelID=1539436&amp;Theme=Imagery","1539436")</f>
        <v>1539436</v>
      </c>
      <c r="G644" s="37" t="s">
        <v>4050</v>
      </c>
      <c r="H644" s="38">
        <v>45413</v>
      </c>
      <c r="I644" s="39">
        <v>18800</v>
      </c>
      <c r="J644" s="40">
        <v>0.24</v>
      </c>
      <c r="K644" s="37" t="s">
        <v>905</v>
      </c>
      <c r="L644" s="37" t="s">
        <v>232</v>
      </c>
      <c r="M644" s="37" t="s">
        <v>5959</v>
      </c>
      <c r="N644" s="37" t="s">
        <v>4052</v>
      </c>
    </row>
    <row r="645" spans="1:14" ht="20.100000000000001" customHeight="1" x14ac:dyDescent="0.25">
      <c r="A645" s="36" t="s">
        <v>5958</v>
      </c>
      <c r="B645" s="37" t="s">
        <v>262</v>
      </c>
      <c r="C645" s="36">
        <v>9303627</v>
      </c>
      <c r="D645" s="37" t="s">
        <v>4055</v>
      </c>
      <c r="E645" s="36" t="s">
        <v>4056</v>
      </c>
      <c r="F645" s="21" t="str">
        <f>HYPERLINK("https://psearch.kitsapgov.com/webappa/index.html?parcelID=1539444&amp;Theme=Imagery","1539444")</f>
        <v>1539444</v>
      </c>
      <c r="G645" s="37" t="s">
        <v>4057</v>
      </c>
      <c r="H645" s="38">
        <v>45413</v>
      </c>
      <c r="I645" s="39">
        <v>18800</v>
      </c>
      <c r="J645" s="40">
        <v>0.41</v>
      </c>
      <c r="K645" s="37" t="s">
        <v>905</v>
      </c>
      <c r="L645" s="37" t="s">
        <v>232</v>
      </c>
      <c r="M645" s="37" t="s">
        <v>5959</v>
      </c>
      <c r="N645" s="37" t="s">
        <v>4052</v>
      </c>
    </row>
    <row r="646" spans="1:14" ht="39.950000000000003" customHeight="1" x14ac:dyDescent="0.25">
      <c r="A646" s="36" t="s">
        <v>5960</v>
      </c>
      <c r="B646" s="37" t="s">
        <v>909</v>
      </c>
      <c r="C646" s="36">
        <v>8303601</v>
      </c>
      <c r="D646" s="37" t="s">
        <v>25</v>
      </c>
      <c r="E646" s="36" t="s">
        <v>4759</v>
      </c>
      <c r="F646" s="21" t="str">
        <f>HYPERLINK("https://psearch.kitsapgov.com/webappa/index.html?parcelID=2434181&amp;Theme=Imagery","2434181")</f>
        <v>2434181</v>
      </c>
      <c r="G646" s="37" t="s">
        <v>4760</v>
      </c>
      <c r="H646" s="38">
        <v>45434</v>
      </c>
      <c r="I646" s="39">
        <v>322500</v>
      </c>
      <c r="J646" s="40">
        <v>4.9800000000000004</v>
      </c>
      <c r="K646" s="37" t="s">
        <v>421</v>
      </c>
      <c r="L646" s="37" t="s">
        <v>944</v>
      </c>
      <c r="M646" s="37" t="s">
        <v>5860</v>
      </c>
      <c r="N646" s="37" t="s">
        <v>5961</v>
      </c>
    </row>
    <row r="647" spans="1:14" ht="20.100000000000001" customHeight="1" x14ac:dyDescent="0.25">
      <c r="A647" s="36" t="s">
        <v>5960</v>
      </c>
      <c r="B647" s="37" t="s">
        <v>4603</v>
      </c>
      <c r="C647" s="36">
        <v>7303604</v>
      </c>
      <c r="D647" s="37" t="s">
        <v>4763</v>
      </c>
      <c r="E647" s="36" t="s">
        <v>5861</v>
      </c>
      <c r="F647" s="21" t="str">
        <f>HYPERLINK("https://psearch.kitsapgov.com/webappa/index.html?parcelID=1887504&amp;Theme=Imagery","1887504")</f>
        <v>1887504</v>
      </c>
      <c r="G647" s="37" t="s">
        <v>3019</v>
      </c>
      <c r="H647" s="38">
        <v>45434</v>
      </c>
      <c r="I647" s="39">
        <v>322500</v>
      </c>
      <c r="J647" s="40">
        <v>0</v>
      </c>
      <c r="L647" s="37" t="s">
        <v>944</v>
      </c>
      <c r="M647" s="37" t="s">
        <v>5860</v>
      </c>
      <c r="N647" s="37" t="s">
        <v>5961</v>
      </c>
    </row>
    <row r="648" spans="1:14" ht="39.950000000000003" customHeight="1" x14ac:dyDescent="0.25">
      <c r="A648" s="36" t="s">
        <v>5962</v>
      </c>
      <c r="B648" s="37" t="s">
        <v>850</v>
      </c>
      <c r="C648" s="36">
        <v>7100591</v>
      </c>
      <c r="D648" s="37" t="s">
        <v>5332</v>
      </c>
      <c r="E648" s="36" t="s">
        <v>5963</v>
      </c>
      <c r="F648" s="21" t="str">
        <f>HYPERLINK("https://psearch.kitsapgov.com/webappa/index.html?parcelID=1715705&amp;Theme=Imagery","1715705")</f>
        <v>1715705</v>
      </c>
      <c r="G648" s="37" t="s">
        <v>3019</v>
      </c>
      <c r="H648" s="38">
        <v>45442</v>
      </c>
      <c r="I648" s="39">
        <v>1300000</v>
      </c>
      <c r="J648" s="40">
        <v>7.0000000000000007E-2</v>
      </c>
      <c r="K648" s="37" t="s">
        <v>37</v>
      </c>
      <c r="L648" s="37" t="s">
        <v>4517</v>
      </c>
      <c r="M648" s="37" t="s">
        <v>5964</v>
      </c>
      <c r="N648" s="37" t="s">
        <v>2928</v>
      </c>
    </row>
    <row r="649" spans="1:14" ht="20.100000000000001" customHeight="1" x14ac:dyDescent="0.25">
      <c r="A649" s="36" t="s">
        <v>5962</v>
      </c>
      <c r="B649" s="37" t="s">
        <v>105</v>
      </c>
      <c r="C649" s="36">
        <v>7100591</v>
      </c>
      <c r="D649" s="37" t="s">
        <v>5332</v>
      </c>
      <c r="E649" s="36" t="s">
        <v>5965</v>
      </c>
      <c r="F649" s="21" t="str">
        <f>HYPERLINK("https://psearch.kitsapgov.com/webappa/index.html?parcelID=1715713&amp;Theme=Imagery","1715713")</f>
        <v>1715713</v>
      </c>
      <c r="G649" s="37" t="s">
        <v>3019</v>
      </c>
      <c r="H649" s="38">
        <v>45442</v>
      </c>
      <c r="I649" s="39">
        <v>1300000</v>
      </c>
      <c r="J649" s="40">
        <v>7.0000000000000007E-2</v>
      </c>
      <c r="K649" s="37" t="s">
        <v>37</v>
      </c>
      <c r="L649" s="37" t="s">
        <v>4517</v>
      </c>
      <c r="M649" s="37" t="s">
        <v>5964</v>
      </c>
      <c r="N649" s="37" t="s">
        <v>2928</v>
      </c>
    </row>
    <row r="650" spans="1:14" ht="20.100000000000001" customHeight="1" x14ac:dyDescent="0.25">
      <c r="A650" s="36" t="s">
        <v>5962</v>
      </c>
      <c r="B650" s="37" t="s">
        <v>172</v>
      </c>
      <c r="C650" s="36">
        <v>8100504</v>
      </c>
      <c r="D650" s="37" t="s">
        <v>210</v>
      </c>
      <c r="E650" s="36" t="s">
        <v>5966</v>
      </c>
      <c r="F650" s="21" t="str">
        <f>HYPERLINK("https://psearch.kitsapgov.com/webappa/index.html?parcelID=1715721&amp;Theme=Imagery","1715721")</f>
        <v>1715721</v>
      </c>
      <c r="G650" s="37" t="s">
        <v>5967</v>
      </c>
      <c r="H650" s="38">
        <v>45442</v>
      </c>
      <c r="I650" s="39">
        <v>1300000</v>
      </c>
      <c r="J650" s="40">
        <v>0.3</v>
      </c>
      <c r="K650" s="37" t="s">
        <v>37</v>
      </c>
      <c r="L650" s="37" t="s">
        <v>4517</v>
      </c>
      <c r="M650" s="37" t="s">
        <v>5964</v>
      </c>
      <c r="N650" s="37" t="s">
        <v>2928</v>
      </c>
    </row>
    <row r="651" spans="1:14" ht="39.950000000000003" customHeight="1" x14ac:dyDescent="0.25">
      <c r="A651" s="36" t="s">
        <v>5968</v>
      </c>
      <c r="B651" s="37" t="s">
        <v>105</v>
      </c>
      <c r="C651" s="36">
        <v>8401104</v>
      </c>
      <c r="D651" s="37" t="s">
        <v>241</v>
      </c>
      <c r="E651" s="36" t="s">
        <v>5969</v>
      </c>
      <c r="F651" s="21" t="str">
        <f>HYPERLINK("https://psearch.kitsapgov.com/webappa/index.html?parcelID=1241348&amp;Theme=Imagery","1241348")</f>
        <v>1241348</v>
      </c>
      <c r="G651" s="37" t="s">
        <v>5970</v>
      </c>
      <c r="H651" s="38">
        <v>45441</v>
      </c>
      <c r="I651" s="39">
        <v>1500000</v>
      </c>
      <c r="J651" s="40">
        <v>4.3</v>
      </c>
      <c r="K651" s="37" t="s">
        <v>37</v>
      </c>
      <c r="L651" s="37" t="s">
        <v>4517</v>
      </c>
      <c r="M651" s="37" t="s">
        <v>5971</v>
      </c>
      <c r="N651" s="37" t="s">
        <v>4082</v>
      </c>
    </row>
    <row r="652" spans="1:14" ht="20.100000000000001" customHeight="1" x14ac:dyDescent="0.25">
      <c r="A652" s="36" t="s">
        <v>5968</v>
      </c>
      <c r="B652" s="37" t="s">
        <v>105</v>
      </c>
      <c r="C652" s="36">
        <v>8401104</v>
      </c>
      <c r="D652" s="37" t="s">
        <v>241</v>
      </c>
      <c r="E652" s="36" t="s">
        <v>5972</v>
      </c>
      <c r="F652" s="21" t="str">
        <f>HYPERLINK("https://psearch.kitsapgov.com/webappa/index.html?parcelID=2055101&amp;Theme=Imagery","2055101")</f>
        <v>2055101</v>
      </c>
      <c r="G652" s="37" t="s">
        <v>5973</v>
      </c>
      <c r="H652" s="38">
        <v>45441</v>
      </c>
      <c r="I652" s="39">
        <v>1500000</v>
      </c>
      <c r="J652" s="40">
        <v>0.77</v>
      </c>
      <c r="K652" s="37" t="s">
        <v>37</v>
      </c>
      <c r="L652" s="37" t="s">
        <v>4517</v>
      </c>
      <c r="M652" s="37" t="s">
        <v>5971</v>
      </c>
      <c r="N652" s="37" t="s">
        <v>4082</v>
      </c>
    </row>
    <row r="653" spans="1:14" ht="20.100000000000001" customHeight="1" x14ac:dyDescent="0.25">
      <c r="A653" s="36" t="s">
        <v>5968</v>
      </c>
      <c r="B653" s="37" t="s">
        <v>105</v>
      </c>
      <c r="C653" s="36">
        <v>8401104</v>
      </c>
      <c r="D653" s="37" t="s">
        <v>241</v>
      </c>
      <c r="E653" s="36" t="s">
        <v>5974</v>
      </c>
      <c r="F653" s="21" t="str">
        <f>HYPERLINK("https://psearch.kitsapgov.com/webappa/index.html?parcelID=2055119&amp;Theme=Imagery","2055119")</f>
        <v>2055119</v>
      </c>
      <c r="G653" s="37" t="s">
        <v>5973</v>
      </c>
      <c r="H653" s="38">
        <v>45441</v>
      </c>
      <c r="I653" s="39">
        <v>1500000</v>
      </c>
      <c r="J653" s="40">
        <v>0.59</v>
      </c>
      <c r="K653" s="37" t="s">
        <v>37</v>
      </c>
      <c r="L653" s="37" t="s">
        <v>4517</v>
      </c>
      <c r="M653" s="37" t="s">
        <v>5971</v>
      </c>
      <c r="N653" s="37" t="s">
        <v>4082</v>
      </c>
    </row>
    <row r="654" spans="1:14" ht="20.100000000000001" customHeight="1" x14ac:dyDescent="0.25">
      <c r="A654" s="36" t="s">
        <v>5968</v>
      </c>
      <c r="B654" s="37" t="s">
        <v>105</v>
      </c>
      <c r="C654" s="36">
        <v>8401104</v>
      </c>
      <c r="D654" s="37" t="s">
        <v>241</v>
      </c>
      <c r="E654" s="36" t="s">
        <v>5975</v>
      </c>
      <c r="F654" s="21" t="str">
        <f>HYPERLINK("https://psearch.kitsapgov.com/webappa/index.html?parcelID=2055127&amp;Theme=Imagery","2055127")</f>
        <v>2055127</v>
      </c>
      <c r="G654" s="37" t="s">
        <v>5973</v>
      </c>
      <c r="H654" s="38">
        <v>45441</v>
      </c>
      <c r="I654" s="39">
        <v>1500000</v>
      </c>
      <c r="J654" s="40">
        <v>1.24</v>
      </c>
      <c r="K654" s="37" t="s">
        <v>37</v>
      </c>
      <c r="L654" s="37" t="s">
        <v>4517</v>
      </c>
      <c r="M654" s="37" t="s">
        <v>5971</v>
      </c>
      <c r="N654" s="37" t="s">
        <v>4082</v>
      </c>
    </row>
    <row r="655" spans="1:14" ht="20.100000000000001" customHeight="1" x14ac:dyDescent="0.25">
      <c r="A655" s="36" t="s">
        <v>5968</v>
      </c>
      <c r="B655" s="37" t="s">
        <v>105</v>
      </c>
      <c r="C655" s="36">
        <v>8401104</v>
      </c>
      <c r="D655" s="37" t="s">
        <v>241</v>
      </c>
      <c r="E655" s="36" t="s">
        <v>5976</v>
      </c>
      <c r="F655" s="21" t="str">
        <f>HYPERLINK("https://psearch.kitsapgov.com/webappa/index.html?parcelID=2055135&amp;Theme=Imagery","2055135")</f>
        <v>2055135</v>
      </c>
      <c r="G655" s="37" t="s">
        <v>5973</v>
      </c>
      <c r="H655" s="38">
        <v>45441</v>
      </c>
      <c r="I655" s="39">
        <v>1500000</v>
      </c>
      <c r="J655" s="40">
        <v>1.41</v>
      </c>
      <c r="K655" s="37" t="s">
        <v>37</v>
      </c>
      <c r="L655" s="37" t="s">
        <v>4517</v>
      </c>
      <c r="M655" s="37" t="s">
        <v>5971</v>
      </c>
      <c r="N655" s="37" t="s">
        <v>4082</v>
      </c>
    </row>
    <row r="656" spans="1:14" ht="39.950000000000003" customHeight="1" x14ac:dyDescent="0.25">
      <c r="A656" s="36" t="s">
        <v>5977</v>
      </c>
      <c r="B656" s="37" t="s">
        <v>105</v>
      </c>
      <c r="C656" s="36">
        <v>8401508</v>
      </c>
      <c r="D656" s="37" t="s">
        <v>1341</v>
      </c>
      <c r="E656" s="36" t="s">
        <v>5978</v>
      </c>
      <c r="F656" s="21" t="str">
        <f>HYPERLINK("https://psearch.kitsapgov.com/webappa/index.html?parcelID=1640804&amp;Theme=Imagery","1640804")</f>
        <v>1640804</v>
      </c>
      <c r="G656" s="37" t="s">
        <v>5979</v>
      </c>
      <c r="H656" s="38">
        <v>45447</v>
      </c>
      <c r="I656" s="39">
        <v>175000</v>
      </c>
      <c r="J656" s="40">
        <v>0.23</v>
      </c>
      <c r="K656" s="37" t="s">
        <v>37</v>
      </c>
      <c r="L656" s="37" t="s">
        <v>4517</v>
      </c>
      <c r="M656" s="37" t="s">
        <v>5980</v>
      </c>
      <c r="N656" s="37" t="s">
        <v>5981</v>
      </c>
    </row>
    <row r="657" spans="1:14" ht="20.100000000000001" customHeight="1" x14ac:dyDescent="0.25">
      <c r="A657" s="36" t="s">
        <v>5977</v>
      </c>
      <c r="B657" s="37" t="s">
        <v>105</v>
      </c>
      <c r="C657" s="36">
        <v>8401508</v>
      </c>
      <c r="D657" s="37" t="s">
        <v>1341</v>
      </c>
      <c r="E657" s="36" t="s">
        <v>5982</v>
      </c>
      <c r="F657" s="21" t="str">
        <f>HYPERLINK("https://psearch.kitsapgov.com/webappa/index.html?parcelID=1640929&amp;Theme=Imagery","1640929")</f>
        <v>1640929</v>
      </c>
      <c r="G657" s="37" t="s">
        <v>5983</v>
      </c>
      <c r="H657" s="38">
        <v>45447</v>
      </c>
      <c r="I657" s="39">
        <v>175000</v>
      </c>
      <c r="J657" s="40">
        <v>0.21</v>
      </c>
      <c r="K657" s="37" t="s">
        <v>37</v>
      </c>
      <c r="L657" s="37" t="s">
        <v>4517</v>
      </c>
      <c r="M657" s="37" t="s">
        <v>5980</v>
      </c>
      <c r="N657" s="37" t="s">
        <v>5981</v>
      </c>
    </row>
    <row r="658" spans="1:14" ht="39.950000000000003" customHeight="1" x14ac:dyDescent="0.25">
      <c r="A658" s="36" t="s">
        <v>5984</v>
      </c>
      <c r="B658" s="37" t="s">
        <v>159</v>
      </c>
      <c r="C658" s="36">
        <v>8100502</v>
      </c>
      <c r="D658" s="37" t="s">
        <v>142</v>
      </c>
      <c r="E658" s="36" t="s">
        <v>5985</v>
      </c>
      <c r="F658" s="21" t="str">
        <f>HYPERLINK("https://psearch.kitsapgov.com/webappa/index.html?parcelID=1457613&amp;Theme=Imagery","1457613")</f>
        <v>1457613</v>
      </c>
      <c r="G658" s="37" t="s">
        <v>5986</v>
      </c>
      <c r="H658" s="38">
        <v>45469</v>
      </c>
      <c r="I658" s="39">
        <v>300000</v>
      </c>
      <c r="J658" s="40">
        <v>0.17</v>
      </c>
      <c r="K658" s="37" t="s">
        <v>168</v>
      </c>
      <c r="L658" s="37" t="s">
        <v>4552</v>
      </c>
      <c r="M658" s="37" t="s">
        <v>5987</v>
      </c>
      <c r="N658" s="37" t="s">
        <v>5988</v>
      </c>
    </row>
    <row r="659" spans="1:14" ht="20.100000000000001" customHeight="1" x14ac:dyDescent="0.25">
      <c r="A659" s="36" t="s">
        <v>5984</v>
      </c>
      <c r="B659" s="37" t="s">
        <v>159</v>
      </c>
      <c r="C659" s="36">
        <v>8100502</v>
      </c>
      <c r="D659" s="37" t="s">
        <v>142</v>
      </c>
      <c r="E659" s="36" t="s">
        <v>5989</v>
      </c>
      <c r="F659" s="21" t="str">
        <f>HYPERLINK("https://psearch.kitsapgov.com/webappa/index.html?parcelID=2316420&amp;Theme=Imagery","2316420")</f>
        <v>2316420</v>
      </c>
      <c r="G659" s="37" t="s">
        <v>5990</v>
      </c>
      <c r="H659" s="38">
        <v>45469</v>
      </c>
      <c r="I659" s="39">
        <v>300000</v>
      </c>
      <c r="J659" s="40">
        <v>0</v>
      </c>
      <c r="L659" s="37" t="s">
        <v>4552</v>
      </c>
      <c r="M659" s="37" t="s">
        <v>5987</v>
      </c>
      <c r="N659" s="37" t="s">
        <v>5988</v>
      </c>
    </row>
    <row r="660" spans="1:14" ht="39.950000000000003" customHeight="1" x14ac:dyDescent="0.25">
      <c r="A660" s="36" t="s">
        <v>5991</v>
      </c>
      <c r="B660" s="37" t="s">
        <v>105</v>
      </c>
      <c r="C660" s="36">
        <v>7402404</v>
      </c>
      <c r="D660" s="37" t="s">
        <v>4707</v>
      </c>
      <c r="E660" s="36" t="s">
        <v>5992</v>
      </c>
      <c r="F660" s="21" t="str">
        <f>HYPERLINK("https://psearch.kitsapgov.com/webappa/index.html?parcelID=2202067&amp;Theme=Imagery","2202067")</f>
        <v>2202067</v>
      </c>
      <c r="G660" s="37" t="s">
        <v>3019</v>
      </c>
      <c r="H660" s="38">
        <v>45471</v>
      </c>
      <c r="I660" s="39">
        <v>3000000</v>
      </c>
      <c r="J660" s="40">
        <v>0.12</v>
      </c>
      <c r="L660" s="37" t="s">
        <v>4552</v>
      </c>
      <c r="M660" s="37" t="s">
        <v>5993</v>
      </c>
      <c r="N660" s="37" t="s">
        <v>5994</v>
      </c>
    </row>
    <row r="661" spans="1:14" ht="20.100000000000001" customHeight="1" x14ac:dyDescent="0.25">
      <c r="A661" s="36" t="s">
        <v>5991</v>
      </c>
      <c r="B661" s="37" t="s">
        <v>172</v>
      </c>
      <c r="C661" s="36">
        <v>9402404</v>
      </c>
      <c r="D661" s="37" t="s">
        <v>4702</v>
      </c>
      <c r="E661" s="36" t="s">
        <v>5995</v>
      </c>
      <c r="F661" s="21" t="str">
        <f>HYPERLINK("https://psearch.kitsapgov.com/webappa/index.html?parcelID=1101211&amp;Theme=Imagery","1101211")</f>
        <v>1101211</v>
      </c>
      <c r="G661" s="37" t="s">
        <v>5996</v>
      </c>
      <c r="H661" s="38">
        <v>45471</v>
      </c>
      <c r="I661" s="39">
        <v>3000000</v>
      </c>
      <c r="J661" s="40">
        <v>3.89</v>
      </c>
      <c r="K661" s="37" t="s">
        <v>205</v>
      </c>
      <c r="L661" s="37" t="s">
        <v>4552</v>
      </c>
      <c r="M661" s="37" t="s">
        <v>5993</v>
      </c>
      <c r="N661" s="37" t="s">
        <v>5994</v>
      </c>
    </row>
    <row r="662" spans="1:14" ht="39.950000000000003" customHeight="1" x14ac:dyDescent="0.25">
      <c r="A662" s="36" t="s">
        <v>5997</v>
      </c>
      <c r="B662" s="37" t="s">
        <v>105</v>
      </c>
      <c r="C662" s="36">
        <v>8400204</v>
      </c>
      <c r="D662" s="37" t="s">
        <v>194</v>
      </c>
      <c r="E662" s="36" t="s">
        <v>5998</v>
      </c>
      <c r="F662" s="21" t="str">
        <f>HYPERLINK("https://psearch.kitsapgov.com/webappa/index.html?parcelID=2444149&amp;Theme=Imagery","2444149")</f>
        <v>2444149</v>
      </c>
      <c r="G662" s="37" t="s">
        <v>5999</v>
      </c>
      <c r="H662" s="38">
        <v>45484</v>
      </c>
      <c r="I662" s="39">
        <v>625000</v>
      </c>
      <c r="J662" s="40">
        <v>0.36</v>
      </c>
      <c r="K662" s="37" t="s">
        <v>583</v>
      </c>
      <c r="L662" s="37" t="s">
        <v>4517</v>
      </c>
      <c r="M662" s="37" t="s">
        <v>6000</v>
      </c>
      <c r="N662" s="37" t="s">
        <v>585</v>
      </c>
    </row>
    <row r="663" spans="1:14" ht="20.100000000000001" customHeight="1" x14ac:dyDescent="0.25">
      <c r="A663" s="36" t="s">
        <v>5997</v>
      </c>
      <c r="B663" s="37" t="s">
        <v>70</v>
      </c>
      <c r="C663" s="36">
        <v>8400204</v>
      </c>
      <c r="D663" s="37" t="s">
        <v>194</v>
      </c>
      <c r="E663" s="36" t="s">
        <v>6001</v>
      </c>
      <c r="F663" s="21" t="str">
        <f>HYPERLINK("https://psearch.kitsapgov.com/webappa/index.html?parcelID=2444180&amp;Theme=Imagery","2444180")</f>
        <v>2444180</v>
      </c>
      <c r="G663" s="37" t="s">
        <v>6002</v>
      </c>
      <c r="H663" s="38">
        <v>45484</v>
      </c>
      <c r="I663" s="39">
        <v>625000</v>
      </c>
      <c r="J663" s="40">
        <v>0.79</v>
      </c>
      <c r="K663" s="37" t="s">
        <v>583</v>
      </c>
      <c r="L663" s="37" t="s">
        <v>4517</v>
      </c>
      <c r="M663" s="37" t="s">
        <v>6000</v>
      </c>
      <c r="N663" s="37" t="s">
        <v>585</v>
      </c>
    </row>
    <row r="664" spans="1:14" ht="39.950000000000003" customHeight="1" x14ac:dyDescent="0.25">
      <c r="A664" s="36" t="s">
        <v>6003</v>
      </c>
      <c r="B664" s="37" t="s">
        <v>105</v>
      </c>
      <c r="C664" s="36">
        <v>8400202</v>
      </c>
      <c r="D664" s="37" t="s">
        <v>440</v>
      </c>
      <c r="E664" s="36" t="s">
        <v>6004</v>
      </c>
      <c r="F664" s="21" t="str">
        <f>HYPERLINK("https://psearch.kitsapgov.com/webappa/index.html?parcelID=2338523&amp;Theme=Imagery","2338523")</f>
        <v>2338523</v>
      </c>
      <c r="G664" s="37" t="s">
        <v>6005</v>
      </c>
      <c r="H664" s="38">
        <v>45500</v>
      </c>
      <c r="I664" s="39">
        <v>787470</v>
      </c>
      <c r="J664" s="40">
        <v>2.63</v>
      </c>
      <c r="K664" s="37" t="s">
        <v>443</v>
      </c>
      <c r="L664" s="37" t="s">
        <v>4517</v>
      </c>
      <c r="M664" s="37" t="s">
        <v>6006</v>
      </c>
      <c r="N664" s="37" t="s">
        <v>6007</v>
      </c>
    </row>
    <row r="665" spans="1:14" ht="20.100000000000001" customHeight="1" x14ac:dyDescent="0.25">
      <c r="A665" s="36" t="s">
        <v>6003</v>
      </c>
      <c r="B665" s="37" t="s">
        <v>105</v>
      </c>
      <c r="C665" s="36">
        <v>8400202</v>
      </c>
      <c r="D665" s="37" t="s">
        <v>440</v>
      </c>
      <c r="E665" s="36" t="s">
        <v>6008</v>
      </c>
      <c r="F665" s="21" t="str">
        <f>HYPERLINK("https://psearch.kitsapgov.com/webappa/index.html?parcelID=2338531&amp;Theme=Imagery","2338531")</f>
        <v>2338531</v>
      </c>
      <c r="G665" s="37" t="s">
        <v>6009</v>
      </c>
      <c r="H665" s="38">
        <v>45500</v>
      </c>
      <c r="I665" s="39">
        <v>787470</v>
      </c>
      <c r="J665" s="40">
        <v>0.52</v>
      </c>
      <c r="K665" s="37" t="s">
        <v>443</v>
      </c>
      <c r="L665" s="37" t="s">
        <v>4517</v>
      </c>
      <c r="M665" s="37" t="s">
        <v>6006</v>
      </c>
      <c r="N665" s="37" t="s">
        <v>6007</v>
      </c>
    </row>
    <row r="666" spans="1:14" ht="39.950000000000003" customHeight="1" x14ac:dyDescent="0.25">
      <c r="A666" s="36" t="s">
        <v>6010</v>
      </c>
      <c r="B666" s="37" t="s">
        <v>1459</v>
      </c>
      <c r="C666" s="36">
        <v>8402307</v>
      </c>
      <c r="D666" s="37" t="s">
        <v>131</v>
      </c>
      <c r="E666" s="36" t="s">
        <v>6011</v>
      </c>
      <c r="F666" s="21" t="str">
        <f>HYPERLINK("https://psearch.kitsapgov.com/webappa/index.html?parcelID=2031235&amp;Theme=Imagery","2031235")</f>
        <v>2031235</v>
      </c>
      <c r="G666" s="37" t="s">
        <v>6012</v>
      </c>
      <c r="H666" s="38">
        <v>45517</v>
      </c>
      <c r="I666" s="39">
        <v>1250000</v>
      </c>
      <c r="J666" s="40">
        <v>3.41</v>
      </c>
      <c r="K666" s="37" t="s">
        <v>368</v>
      </c>
      <c r="L666" s="37" t="s">
        <v>4552</v>
      </c>
      <c r="M666" s="37" t="s">
        <v>6013</v>
      </c>
      <c r="N666" s="37" t="s">
        <v>6014</v>
      </c>
    </row>
    <row r="667" spans="1:14" ht="20.100000000000001" customHeight="1" x14ac:dyDescent="0.25">
      <c r="A667" s="36" t="s">
        <v>6010</v>
      </c>
      <c r="B667" s="37" t="s">
        <v>459</v>
      </c>
      <c r="C667" s="36">
        <v>9402390</v>
      </c>
      <c r="D667" s="37" t="s">
        <v>173</v>
      </c>
      <c r="E667" s="36" t="s">
        <v>6015</v>
      </c>
      <c r="F667" s="21" t="str">
        <f>HYPERLINK("https://psearch.kitsapgov.com/webappa/index.html?parcelID=2032035&amp;Theme=Imagery","2032035")</f>
        <v>2032035</v>
      </c>
      <c r="G667" s="37" t="s">
        <v>6016</v>
      </c>
      <c r="H667" s="38">
        <v>45517</v>
      </c>
      <c r="I667" s="39">
        <v>1250000</v>
      </c>
      <c r="J667" s="40">
        <v>0.59</v>
      </c>
      <c r="K667" s="37" t="s">
        <v>874</v>
      </c>
      <c r="L667" s="37" t="s">
        <v>4552</v>
      </c>
      <c r="M667" s="37" t="s">
        <v>6013</v>
      </c>
      <c r="N667" s="37" t="s">
        <v>6014</v>
      </c>
    </row>
    <row r="668" spans="1:14" ht="39.950000000000003" customHeight="1" x14ac:dyDescent="0.25">
      <c r="A668" s="36" t="s">
        <v>6017</v>
      </c>
      <c r="B668" s="37" t="s">
        <v>70</v>
      </c>
      <c r="C668" s="36">
        <v>8402408</v>
      </c>
      <c r="D668" s="37" t="s">
        <v>160</v>
      </c>
      <c r="E668" s="36" t="s">
        <v>6018</v>
      </c>
      <c r="F668" s="21" t="str">
        <f>HYPERLINK("https://psearch.kitsapgov.com/webappa/index.html?parcelID=1169101&amp;Theme=Imagery","1169101")</f>
        <v>1169101</v>
      </c>
      <c r="G668" s="37" t="s">
        <v>6019</v>
      </c>
      <c r="H668" s="38">
        <v>45519</v>
      </c>
      <c r="I668" s="39">
        <v>1700000</v>
      </c>
      <c r="J668" s="40">
        <v>0.48</v>
      </c>
      <c r="K668" s="37" t="s">
        <v>37</v>
      </c>
      <c r="L668" s="37" t="s">
        <v>4517</v>
      </c>
      <c r="M668" s="37" t="s">
        <v>6020</v>
      </c>
      <c r="N668" s="37" t="s">
        <v>6021</v>
      </c>
    </row>
    <row r="669" spans="1:14" ht="20.100000000000001" customHeight="1" x14ac:dyDescent="0.25">
      <c r="A669" s="36" t="s">
        <v>6017</v>
      </c>
      <c r="B669" s="37" t="s">
        <v>159</v>
      </c>
      <c r="C669" s="36">
        <v>8402408</v>
      </c>
      <c r="D669" s="37" t="s">
        <v>160</v>
      </c>
      <c r="E669" s="36" t="s">
        <v>6022</v>
      </c>
      <c r="F669" s="21" t="str">
        <f>HYPERLINK("https://psearch.kitsapgov.com/webappa/index.html?parcelID=1911064&amp;Theme=Imagery","1911064")</f>
        <v>1911064</v>
      </c>
      <c r="G669" s="37" t="s">
        <v>6023</v>
      </c>
      <c r="H669" s="38">
        <v>45519</v>
      </c>
      <c r="I669" s="39">
        <v>1700000</v>
      </c>
      <c r="J669" s="40">
        <v>0.44</v>
      </c>
      <c r="K669" s="37" t="s">
        <v>37</v>
      </c>
      <c r="L669" s="37" t="s">
        <v>4517</v>
      </c>
      <c r="M669" s="37" t="s">
        <v>6020</v>
      </c>
      <c r="N669" s="37" t="s">
        <v>6021</v>
      </c>
    </row>
    <row r="670" spans="1:14" ht="39.950000000000003" customHeight="1" x14ac:dyDescent="0.25">
      <c r="A670" s="36" t="s">
        <v>6024</v>
      </c>
      <c r="B670" s="37" t="s">
        <v>105</v>
      </c>
      <c r="C670" s="36">
        <v>8100505</v>
      </c>
      <c r="D670" s="37" t="s">
        <v>670</v>
      </c>
      <c r="E670" s="36" t="s">
        <v>6025</v>
      </c>
      <c r="F670" s="21" t="str">
        <f>HYPERLINK("https://psearch.kitsapgov.com/webappa/index.html?parcelID=1496801&amp;Theme=Imagery","1496801")</f>
        <v>1496801</v>
      </c>
      <c r="G670" s="37" t="s">
        <v>6026</v>
      </c>
      <c r="H670" s="38">
        <v>44900</v>
      </c>
      <c r="I670" s="39">
        <v>342890</v>
      </c>
      <c r="J670" s="40">
        <v>7.0000000000000007E-2</v>
      </c>
      <c r="K670" s="37" t="s">
        <v>673</v>
      </c>
      <c r="L670" s="37" t="s">
        <v>1501</v>
      </c>
      <c r="M670" s="37" t="s">
        <v>6027</v>
      </c>
      <c r="N670" s="37" t="s">
        <v>6028</v>
      </c>
    </row>
    <row r="671" spans="1:14" ht="20.100000000000001" customHeight="1" x14ac:dyDescent="0.25">
      <c r="A671" s="36" t="s">
        <v>6024</v>
      </c>
      <c r="B671" s="37" t="s">
        <v>105</v>
      </c>
      <c r="C671" s="36">
        <v>8100505</v>
      </c>
      <c r="D671" s="37" t="s">
        <v>670</v>
      </c>
      <c r="E671" s="36" t="s">
        <v>6029</v>
      </c>
      <c r="F671" s="21" t="str">
        <f>HYPERLINK("https://psearch.kitsapgov.com/webappa/index.html?parcelID=1496819&amp;Theme=Imagery","1496819")</f>
        <v>1496819</v>
      </c>
      <c r="G671" s="37" t="s">
        <v>6030</v>
      </c>
      <c r="H671" s="38">
        <v>44900</v>
      </c>
      <c r="I671" s="39">
        <v>342890</v>
      </c>
      <c r="J671" s="40">
        <v>1.39</v>
      </c>
      <c r="K671" s="37" t="s">
        <v>673</v>
      </c>
      <c r="L671" s="37" t="s">
        <v>1501</v>
      </c>
      <c r="M671" s="37" t="s">
        <v>6027</v>
      </c>
      <c r="N671" s="37" t="s">
        <v>6028</v>
      </c>
    </row>
    <row r="672" spans="1:14" ht="39.950000000000003" customHeight="1" x14ac:dyDescent="0.25">
      <c r="A672" s="36" t="s">
        <v>6031</v>
      </c>
      <c r="B672" s="37" t="s">
        <v>2451</v>
      </c>
      <c r="C672" s="36">
        <v>8401104</v>
      </c>
      <c r="D672" s="37" t="s">
        <v>241</v>
      </c>
      <c r="E672" s="36" t="s">
        <v>6032</v>
      </c>
      <c r="F672" s="21" t="str">
        <f>HYPERLINK("https://psearch.kitsapgov.com/webappa/index.html?parcelID=1244946&amp;Theme=Imagery","1244946")</f>
        <v>1244946</v>
      </c>
      <c r="G672" s="37" t="s">
        <v>6033</v>
      </c>
      <c r="H672" s="38">
        <v>45519</v>
      </c>
      <c r="I672" s="39">
        <v>351400</v>
      </c>
      <c r="J672" s="40">
        <v>1.07</v>
      </c>
      <c r="K672" s="37" t="s">
        <v>492</v>
      </c>
      <c r="L672" s="37" t="s">
        <v>4517</v>
      </c>
      <c r="M672" s="37" t="s">
        <v>6034</v>
      </c>
      <c r="N672" s="37" t="s">
        <v>6035</v>
      </c>
    </row>
    <row r="673" spans="1:14" ht="20.100000000000001" customHeight="1" x14ac:dyDescent="0.25">
      <c r="A673" s="36" t="s">
        <v>6031</v>
      </c>
      <c r="B673" s="37" t="s">
        <v>105</v>
      </c>
      <c r="C673" s="36">
        <v>8401104</v>
      </c>
      <c r="D673" s="37" t="s">
        <v>241</v>
      </c>
      <c r="E673" s="36" t="s">
        <v>6036</v>
      </c>
      <c r="F673" s="21" t="str">
        <f>HYPERLINK("https://psearch.kitsapgov.com/webappa/index.html?parcelID=1245265&amp;Theme=Imagery","1245265")</f>
        <v>1245265</v>
      </c>
      <c r="G673" s="37" t="s">
        <v>6037</v>
      </c>
      <c r="H673" s="38">
        <v>45519</v>
      </c>
      <c r="I673" s="39">
        <v>351400</v>
      </c>
      <c r="J673" s="40">
        <v>1.05</v>
      </c>
      <c r="K673" s="37" t="s">
        <v>492</v>
      </c>
      <c r="L673" s="37" t="s">
        <v>4517</v>
      </c>
      <c r="M673" s="37" t="s">
        <v>6034</v>
      </c>
      <c r="N673" s="37" t="s">
        <v>6035</v>
      </c>
    </row>
    <row r="674" spans="1:14" ht="39.950000000000003" customHeight="1" x14ac:dyDescent="0.25">
      <c r="A674" s="36" t="s">
        <v>6038</v>
      </c>
      <c r="B674" s="37" t="s">
        <v>105</v>
      </c>
      <c r="C674" s="36">
        <v>9402390</v>
      </c>
      <c r="D674" s="37" t="s">
        <v>173</v>
      </c>
      <c r="E674" s="36" t="s">
        <v>5303</v>
      </c>
      <c r="F674" s="21" t="str">
        <f>HYPERLINK("https://psearch.kitsapgov.com/webappa/index.html?parcelID=1174382&amp;Theme=Imagery","1174382")</f>
        <v>1174382</v>
      </c>
      <c r="G674" s="37" t="s">
        <v>5304</v>
      </c>
      <c r="H674" s="38">
        <v>45525</v>
      </c>
      <c r="I674" s="39">
        <v>5490000</v>
      </c>
      <c r="J674" s="40">
        <v>4.83</v>
      </c>
      <c r="K674" s="37" t="s">
        <v>4673</v>
      </c>
      <c r="L674" s="37" t="s">
        <v>2078</v>
      </c>
      <c r="M674" s="37" t="s">
        <v>5306</v>
      </c>
      <c r="N674" s="37" t="s">
        <v>6039</v>
      </c>
    </row>
    <row r="675" spans="1:14" ht="20.100000000000001" customHeight="1" x14ac:dyDescent="0.25">
      <c r="A675" s="36" t="s">
        <v>6038</v>
      </c>
      <c r="B675" s="37" t="s">
        <v>105</v>
      </c>
      <c r="C675" s="36">
        <v>9402390</v>
      </c>
      <c r="D675" s="37" t="s">
        <v>173</v>
      </c>
      <c r="E675" s="36" t="s">
        <v>5307</v>
      </c>
      <c r="F675" s="21" t="str">
        <f>HYPERLINK("https://psearch.kitsapgov.com/webappa/index.html?parcelID=1730407&amp;Theme=Imagery","1730407")</f>
        <v>1730407</v>
      </c>
      <c r="G675" s="37" t="s">
        <v>5308</v>
      </c>
      <c r="H675" s="38">
        <v>45525</v>
      </c>
      <c r="I675" s="39">
        <v>5490000</v>
      </c>
      <c r="J675" s="40">
        <v>4.8099999999999996</v>
      </c>
      <c r="K675" s="37" t="s">
        <v>874</v>
      </c>
      <c r="L675" s="37" t="s">
        <v>2078</v>
      </c>
      <c r="M675" s="37" t="s">
        <v>5306</v>
      </c>
      <c r="N675" s="37" t="s">
        <v>6039</v>
      </c>
    </row>
    <row r="676" spans="1:14" ht="39.950000000000003" customHeight="1" x14ac:dyDescent="0.25">
      <c r="A676" s="36" t="s">
        <v>6040</v>
      </c>
      <c r="B676" s="37" t="s">
        <v>909</v>
      </c>
      <c r="C676" s="36">
        <v>8303601</v>
      </c>
      <c r="D676" s="37" t="s">
        <v>25</v>
      </c>
      <c r="E676" s="36" t="s">
        <v>4759</v>
      </c>
      <c r="F676" s="21" t="str">
        <f>HYPERLINK("https://psearch.kitsapgov.com/webappa/index.html?parcelID=2434181&amp;Theme=Imagery","2434181")</f>
        <v>2434181</v>
      </c>
      <c r="G676" s="37" t="s">
        <v>4760</v>
      </c>
      <c r="H676" s="38">
        <v>45541</v>
      </c>
      <c r="I676" s="39">
        <v>325000</v>
      </c>
      <c r="J676" s="40">
        <v>4.9800000000000004</v>
      </c>
      <c r="K676" s="37" t="s">
        <v>421</v>
      </c>
      <c r="L676" s="37" t="s">
        <v>944</v>
      </c>
      <c r="M676" s="37" t="s">
        <v>6041</v>
      </c>
      <c r="N676" s="37" t="s">
        <v>6042</v>
      </c>
    </row>
    <row r="677" spans="1:14" ht="20.100000000000001" customHeight="1" x14ac:dyDescent="0.25">
      <c r="A677" s="36" t="s">
        <v>6040</v>
      </c>
      <c r="B677" s="37" t="s">
        <v>4603</v>
      </c>
      <c r="C677" s="36">
        <v>7303604</v>
      </c>
      <c r="D677" s="37" t="s">
        <v>4763</v>
      </c>
      <c r="E677" s="36" t="s">
        <v>6043</v>
      </c>
      <c r="F677" s="21" t="str">
        <f>HYPERLINK("https://psearch.kitsapgov.com/webappa/index.html?parcelID=1887678&amp;Theme=Imagery","1887678")</f>
        <v>1887678</v>
      </c>
      <c r="G677" s="37" t="s">
        <v>3019</v>
      </c>
      <c r="H677" s="38">
        <v>45541</v>
      </c>
      <c r="I677" s="39">
        <v>325000</v>
      </c>
      <c r="J677" s="40">
        <v>0</v>
      </c>
      <c r="L677" s="37" t="s">
        <v>944</v>
      </c>
      <c r="M677" s="37" t="s">
        <v>6041</v>
      </c>
      <c r="N677" s="37" t="s">
        <v>6042</v>
      </c>
    </row>
    <row r="678" spans="1:14" ht="20.100000000000001" customHeight="1" x14ac:dyDescent="0.25">
      <c r="A678" s="36" t="s">
        <v>6040</v>
      </c>
      <c r="B678" s="37" t="s">
        <v>4603</v>
      </c>
      <c r="C678" s="36">
        <v>7303604</v>
      </c>
      <c r="D678" s="37" t="s">
        <v>4763</v>
      </c>
      <c r="E678" s="36" t="s">
        <v>6044</v>
      </c>
      <c r="F678" s="21" t="str">
        <f>HYPERLINK("https://psearch.kitsapgov.com/webappa/index.html?parcelID=2687614&amp;Theme=Imagery","2687614")</f>
        <v>2687614</v>
      </c>
      <c r="G678" s="37" t="s">
        <v>3019</v>
      </c>
      <c r="H678" s="38">
        <v>45541</v>
      </c>
      <c r="I678" s="39">
        <v>325000</v>
      </c>
      <c r="J678" s="40">
        <v>0</v>
      </c>
      <c r="L678" s="37" t="s">
        <v>944</v>
      </c>
      <c r="M678" s="37" t="s">
        <v>6041</v>
      </c>
      <c r="N678" s="37" t="s">
        <v>6042</v>
      </c>
    </row>
    <row r="679" spans="1:14" ht="39.950000000000003" customHeight="1" x14ac:dyDescent="0.25">
      <c r="A679" s="36" t="s">
        <v>6045</v>
      </c>
      <c r="B679" s="37" t="s">
        <v>3627</v>
      </c>
      <c r="C679" s="36">
        <v>9401591</v>
      </c>
      <c r="D679" s="37" t="s">
        <v>1297</v>
      </c>
      <c r="E679" s="36" t="s">
        <v>6046</v>
      </c>
      <c r="F679" s="21" t="str">
        <f>HYPERLINK("https://psearch.kitsapgov.com/webappa/index.html?parcelID=1256247&amp;Theme=Imagery","1256247")</f>
        <v>1256247</v>
      </c>
      <c r="G679" s="37" t="s">
        <v>6047</v>
      </c>
      <c r="H679" s="38">
        <v>45545</v>
      </c>
      <c r="I679" s="39">
        <v>1500000</v>
      </c>
      <c r="J679" s="40">
        <v>9.58</v>
      </c>
      <c r="K679" s="37" t="s">
        <v>37</v>
      </c>
      <c r="L679" s="37" t="s">
        <v>4517</v>
      </c>
      <c r="M679" s="37" t="s">
        <v>6048</v>
      </c>
      <c r="N679" s="37" t="s">
        <v>4001</v>
      </c>
    </row>
    <row r="680" spans="1:14" ht="20.100000000000001" customHeight="1" x14ac:dyDescent="0.25">
      <c r="A680" s="36" t="s">
        <v>6045</v>
      </c>
      <c r="B680" s="37" t="s">
        <v>105</v>
      </c>
      <c r="C680" s="36">
        <v>7401591</v>
      </c>
      <c r="D680" s="37" t="s">
        <v>1297</v>
      </c>
      <c r="E680" s="36" t="s">
        <v>6049</v>
      </c>
      <c r="F680" s="21" t="str">
        <f>HYPERLINK("https://psearch.kitsapgov.com/webappa/index.html?parcelID=1261957&amp;Theme=Imagery","1261957")</f>
        <v>1261957</v>
      </c>
      <c r="G680" s="37" t="s">
        <v>3019</v>
      </c>
      <c r="H680" s="38">
        <v>45545</v>
      </c>
      <c r="I680" s="39">
        <v>1500000</v>
      </c>
      <c r="J680" s="40">
        <v>4.99</v>
      </c>
      <c r="K680" s="37" t="s">
        <v>4231</v>
      </c>
      <c r="L680" s="37" t="s">
        <v>4517</v>
      </c>
      <c r="M680" s="37" t="s">
        <v>6048</v>
      </c>
      <c r="N680" s="37" t="s">
        <v>4001</v>
      </c>
    </row>
    <row r="681" spans="1:14" ht="39.950000000000003" customHeight="1" x14ac:dyDescent="0.25">
      <c r="A681" s="36" t="s">
        <v>6050</v>
      </c>
      <c r="B681" s="37" t="s">
        <v>105</v>
      </c>
      <c r="C681" s="36">
        <v>8402307</v>
      </c>
      <c r="D681" s="37" t="s">
        <v>131</v>
      </c>
      <c r="E681" s="36" t="s">
        <v>4581</v>
      </c>
      <c r="F681" s="21" t="str">
        <f>HYPERLINK("https://psearch.kitsapgov.com/webappa/index.html?parcelID=1761394&amp;Theme=Imagery","1761394")</f>
        <v>1761394</v>
      </c>
      <c r="G681" s="37" t="s">
        <v>4582</v>
      </c>
      <c r="H681" s="38">
        <v>45561</v>
      </c>
      <c r="I681" s="39">
        <v>1350000</v>
      </c>
      <c r="J681" s="40">
        <v>0.49</v>
      </c>
      <c r="K681" s="37" t="s">
        <v>368</v>
      </c>
      <c r="L681" s="37" t="s">
        <v>4517</v>
      </c>
      <c r="M681" s="37" t="s">
        <v>6051</v>
      </c>
      <c r="N681" s="37" t="s">
        <v>6052</v>
      </c>
    </row>
    <row r="682" spans="1:14" ht="20.100000000000001" customHeight="1" x14ac:dyDescent="0.25">
      <c r="A682" s="36" t="s">
        <v>6050</v>
      </c>
      <c r="B682" s="37" t="s">
        <v>105</v>
      </c>
      <c r="C682" s="36">
        <v>8402307</v>
      </c>
      <c r="D682" s="37" t="s">
        <v>131</v>
      </c>
      <c r="E682" s="36" t="s">
        <v>4585</v>
      </c>
      <c r="F682" s="21" t="str">
        <f>HYPERLINK("https://psearch.kitsapgov.com/webappa/index.html?parcelID=1761402&amp;Theme=Imagery","1761402")</f>
        <v>1761402</v>
      </c>
      <c r="G682" s="37" t="s">
        <v>4586</v>
      </c>
      <c r="H682" s="38">
        <v>45561</v>
      </c>
      <c r="I682" s="39">
        <v>1350000</v>
      </c>
      <c r="J682" s="40">
        <v>0.48</v>
      </c>
      <c r="K682" s="37" t="s">
        <v>368</v>
      </c>
      <c r="L682" s="37" t="s">
        <v>4517</v>
      </c>
      <c r="M682" s="37" t="s">
        <v>6051</v>
      </c>
      <c r="N682" s="37" t="s">
        <v>6052</v>
      </c>
    </row>
    <row r="683" spans="1:14" ht="39.950000000000003" customHeight="1" x14ac:dyDescent="0.25">
      <c r="A683" s="36" t="s">
        <v>6053</v>
      </c>
      <c r="B683" s="37" t="s">
        <v>105</v>
      </c>
      <c r="C683" s="36">
        <v>8401508</v>
      </c>
      <c r="D683" s="37" t="s">
        <v>1341</v>
      </c>
      <c r="E683" s="36" t="s">
        <v>6054</v>
      </c>
      <c r="F683" s="21" t="str">
        <f>HYPERLINK("https://psearch.kitsapgov.com/webappa/index.html?parcelID=2504256&amp;Theme=Imagery","2504256")</f>
        <v>2504256</v>
      </c>
      <c r="G683" s="37" t="s">
        <v>6055</v>
      </c>
      <c r="H683" s="38">
        <v>45560</v>
      </c>
      <c r="I683" s="39">
        <v>2700000</v>
      </c>
      <c r="J683" s="40">
        <v>4.0999999999999996</v>
      </c>
      <c r="K683" s="37" t="s">
        <v>37</v>
      </c>
      <c r="L683" s="37" t="s">
        <v>4517</v>
      </c>
      <c r="M683" s="37" t="s">
        <v>6056</v>
      </c>
      <c r="N683" s="37" t="s">
        <v>6057</v>
      </c>
    </row>
    <row r="684" spans="1:14" ht="20.100000000000001" customHeight="1" x14ac:dyDescent="0.25">
      <c r="A684" s="36" t="s">
        <v>6053</v>
      </c>
      <c r="B684" s="37" t="s">
        <v>105</v>
      </c>
      <c r="C684" s="36">
        <v>8401508</v>
      </c>
      <c r="D684" s="37" t="s">
        <v>1341</v>
      </c>
      <c r="E684" s="36" t="s">
        <v>4366</v>
      </c>
      <c r="F684" s="21" t="str">
        <f>HYPERLINK("https://psearch.kitsapgov.com/webappa/index.html?parcelID=2504264&amp;Theme=Imagery","2504264")</f>
        <v>2504264</v>
      </c>
      <c r="G684" s="37" t="s">
        <v>4367</v>
      </c>
      <c r="H684" s="38">
        <v>45560</v>
      </c>
      <c r="I684" s="39">
        <v>2700000</v>
      </c>
      <c r="J684" s="40">
        <v>29.45</v>
      </c>
      <c r="K684" s="37" t="s">
        <v>37</v>
      </c>
      <c r="L684" s="37" t="s">
        <v>4517</v>
      </c>
      <c r="M684" s="37" t="s">
        <v>6056</v>
      </c>
      <c r="N684" s="37" t="s">
        <v>6057</v>
      </c>
    </row>
    <row r="685" spans="1:14" ht="39.950000000000003" customHeight="1" x14ac:dyDescent="0.25">
      <c r="A685" s="36" t="s">
        <v>6058</v>
      </c>
      <c r="B685" s="37" t="s">
        <v>62</v>
      </c>
      <c r="C685" s="36">
        <v>8100510</v>
      </c>
      <c r="D685" s="37" t="s">
        <v>106</v>
      </c>
      <c r="E685" s="36" t="s">
        <v>6059</v>
      </c>
      <c r="F685" s="21" t="str">
        <f>HYPERLINK("https://psearch.kitsapgov.com/webappa/index.html?parcelID=1438043&amp;Theme=Imagery","1438043")</f>
        <v>1438043</v>
      </c>
      <c r="G685" s="37" t="s">
        <v>6060</v>
      </c>
      <c r="H685" s="38">
        <v>45560</v>
      </c>
      <c r="I685" s="39">
        <v>840469</v>
      </c>
      <c r="J685" s="40">
        <v>0.21</v>
      </c>
      <c r="K685" s="37" t="s">
        <v>109</v>
      </c>
      <c r="L685" s="37" t="s">
        <v>4552</v>
      </c>
      <c r="M685" s="37" t="s">
        <v>6061</v>
      </c>
      <c r="N685" s="37" t="s">
        <v>6062</v>
      </c>
    </row>
    <row r="686" spans="1:14" ht="20.100000000000001" customHeight="1" x14ac:dyDescent="0.25">
      <c r="A686" s="36" t="s">
        <v>6058</v>
      </c>
      <c r="B686" s="37" t="s">
        <v>62</v>
      </c>
      <c r="C686" s="36">
        <v>8100510</v>
      </c>
      <c r="D686" s="37" t="s">
        <v>106</v>
      </c>
      <c r="E686" s="36" t="s">
        <v>6063</v>
      </c>
      <c r="F686" s="21" t="str">
        <f>HYPERLINK("https://psearch.kitsapgov.com/webappa/index.html?parcelID=1438050&amp;Theme=Imagery","1438050")</f>
        <v>1438050</v>
      </c>
      <c r="G686" s="37" t="s">
        <v>6064</v>
      </c>
      <c r="H686" s="38">
        <v>45560</v>
      </c>
      <c r="I686" s="39">
        <v>840469</v>
      </c>
      <c r="J686" s="40">
        <v>0.28000000000000003</v>
      </c>
      <c r="K686" s="37" t="s">
        <v>109</v>
      </c>
      <c r="L686" s="37" t="s">
        <v>4552</v>
      </c>
      <c r="M686" s="37" t="s">
        <v>6061</v>
      </c>
      <c r="N686" s="37" t="s">
        <v>6062</v>
      </c>
    </row>
    <row r="687" spans="1:14" ht="39.950000000000003" customHeight="1" x14ac:dyDescent="0.25">
      <c r="A687" s="36" t="s">
        <v>6065</v>
      </c>
      <c r="B687" s="37" t="s">
        <v>834</v>
      </c>
      <c r="C687" s="36">
        <v>8401508</v>
      </c>
      <c r="D687" s="37" t="s">
        <v>1341</v>
      </c>
      <c r="E687" s="36" t="s">
        <v>6066</v>
      </c>
      <c r="F687" s="21" t="str">
        <f>HYPERLINK("https://psearch.kitsapgov.com/webappa/index.html?parcelID=2208692&amp;Theme=Imagery","2208692")</f>
        <v>2208692</v>
      </c>
      <c r="G687" s="37" t="s">
        <v>6067</v>
      </c>
      <c r="H687" s="38">
        <v>45588</v>
      </c>
      <c r="I687" s="39">
        <v>4225000</v>
      </c>
      <c r="J687" s="40">
        <v>0.28000000000000003</v>
      </c>
      <c r="K687" s="37" t="s">
        <v>37</v>
      </c>
      <c r="L687" s="37" t="s">
        <v>4517</v>
      </c>
      <c r="M687" s="37" t="s">
        <v>6068</v>
      </c>
      <c r="N687" s="37" t="s">
        <v>6069</v>
      </c>
    </row>
    <row r="688" spans="1:14" ht="20.100000000000001" customHeight="1" x14ac:dyDescent="0.25">
      <c r="A688" s="36" t="s">
        <v>6065</v>
      </c>
      <c r="B688" s="37" t="s">
        <v>834</v>
      </c>
      <c r="C688" s="36">
        <v>8401508</v>
      </c>
      <c r="D688" s="37" t="s">
        <v>1341</v>
      </c>
      <c r="E688" s="36" t="s">
        <v>6070</v>
      </c>
      <c r="F688" s="21" t="str">
        <f>HYPERLINK("https://psearch.kitsapgov.com/webappa/index.html?parcelID=2208700&amp;Theme=Imagery","2208700")</f>
        <v>2208700</v>
      </c>
      <c r="G688" s="37" t="s">
        <v>6071</v>
      </c>
      <c r="H688" s="38">
        <v>45588</v>
      </c>
      <c r="I688" s="39">
        <v>4225000</v>
      </c>
      <c r="J688" s="40">
        <v>0.92</v>
      </c>
      <c r="K688" s="37" t="s">
        <v>37</v>
      </c>
      <c r="L688" s="37" t="s">
        <v>4517</v>
      </c>
      <c r="M688" s="37" t="s">
        <v>6068</v>
      </c>
      <c r="N688" s="37" t="s">
        <v>6069</v>
      </c>
    </row>
    <row r="689" spans="1:14" ht="39.950000000000003" customHeight="1" x14ac:dyDescent="0.25">
      <c r="A689" s="36" t="s">
        <v>6072</v>
      </c>
      <c r="B689" s="37" t="s">
        <v>159</v>
      </c>
      <c r="C689" s="36">
        <v>8401104</v>
      </c>
      <c r="D689" s="37" t="s">
        <v>241</v>
      </c>
      <c r="E689" s="36" t="s">
        <v>6073</v>
      </c>
      <c r="F689" s="21" t="str">
        <f>HYPERLINK("https://psearch.kitsapgov.com/webappa/index.html?parcelID=1929421&amp;Theme=Imagery","1929421")</f>
        <v>1929421</v>
      </c>
      <c r="G689" s="37" t="s">
        <v>6074</v>
      </c>
      <c r="H689" s="38">
        <v>45596</v>
      </c>
      <c r="I689" s="39">
        <v>1100000</v>
      </c>
      <c r="J689" s="40">
        <v>1.1499999999999999</v>
      </c>
      <c r="K689" s="37" t="s">
        <v>82</v>
      </c>
      <c r="L689" s="37" t="s">
        <v>4552</v>
      </c>
      <c r="M689" s="37" t="s">
        <v>6075</v>
      </c>
      <c r="N689" s="37" t="s">
        <v>6076</v>
      </c>
    </row>
    <row r="690" spans="1:14" ht="20.100000000000001" customHeight="1" x14ac:dyDescent="0.25">
      <c r="A690" s="36" t="s">
        <v>6072</v>
      </c>
      <c r="B690" s="37" t="s">
        <v>159</v>
      </c>
      <c r="C690" s="36">
        <v>8401104</v>
      </c>
      <c r="D690" s="37" t="s">
        <v>241</v>
      </c>
      <c r="E690" s="36" t="s">
        <v>6077</v>
      </c>
      <c r="F690" s="21" t="str">
        <f>HYPERLINK("https://psearch.kitsapgov.com/webappa/index.html?parcelID=1120435&amp;Theme=Imagery","1120435")</f>
        <v>1120435</v>
      </c>
      <c r="G690" s="37" t="s">
        <v>6078</v>
      </c>
      <c r="H690" s="38">
        <v>45596</v>
      </c>
      <c r="I690" s="39">
        <v>1100000</v>
      </c>
      <c r="J690" s="40">
        <v>0.93</v>
      </c>
      <c r="K690" s="37" t="s">
        <v>82</v>
      </c>
      <c r="L690" s="37" t="s">
        <v>4552</v>
      </c>
      <c r="M690" s="37" t="s">
        <v>6075</v>
      </c>
      <c r="N690" s="37" t="s">
        <v>6076</v>
      </c>
    </row>
    <row r="691" spans="1:14" ht="39.950000000000003" customHeight="1" x14ac:dyDescent="0.25">
      <c r="A691" s="36" t="s">
        <v>6079</v>
      </c>
      <c r="B691" s="37" t="s">
        <v>262</v>
      </c>
      <c r="C691" s="36">
        <v>9400202</v>
      </c>
      <c r="D691" s="37" t="s">
        <v>2101</v>
      </c>
      <c r="E691" s="36" t="s">
        <v>6080</v>
      </c>
      <c r="F691" s="21" t="str">
        <f>HYPERLINK("https://psearch.kitsapgov.com/webappa/index.html?parcelID=2274165&amp;Theme=Imagery","2274165")</f>
        <v>2274165</v>
      </c>
      <c r="G691" s="37" t="s">
        <v>6081</v>
      </c>
      <c r="H691" s="38">
        <v>45594</v>
      </c>
      <c r="I691" s="39">
        <v>3250000</v>
      </c>
      <c r="J691" s="40">
        <v>2.5</v>
      </c>
      <c r="K691" s="37" t="s">
        <v>205</v>
      </c>
      <c r="L691" s="37" t="s">
        <v>4517</v>
      </c>
      <c r="M691" s="37" t="s">
        <v>6082</v>
      </c>
      <c r="N691" s="37" t="s">
        <v>6083</v>
      </c>
    </row>
    <row r="692" spans="1:14" ht="20.100000000000001" customHeight="1" x14ac:dyDescent="0.25">
      <c r="A692" s="36" t="s">
        <v>6079</v>
      </c>
      <c r="B692" s="37" t="s">
        <v>105</v>
      </c>
      <c r="C692" s="36">
        <v>7400202</v>
      </c>
      <c r="D692" s="37" t="s">
        <v>6084</v>
      </c>
      <c r="E692" s="36" t="s">
        <v>6085</v>
      </c>
      <c r="F692" s="21" t="str">
        <f>HYPERLINK("https://psearch.kitsapgov.com/webappa/index.html?parcelID=2274173&amp;Theme=Imagery","2274173")</f>
        <v>2274173</v>
      </c>
      <c r="G692" s="37" t="s">
        <v>6086</v>
      </c>
      <c r="H692" s="38">
        <v>45594</v>
      </c>
      <c r="I692" s="39">
        <v>3250000</v>
      </c>
      <c r="J692" s="40">
        <v>2.5</v>
      </c>
      <c r="K692" s="37" t="s">
        <v>205</v>
      </c>
      <c r="L692" s="37" t="s">
        <v>4517</v>
      </c>
      <c r="M692" s="37" t="s">
        <v>6082</v>
      </c>
      <c r="N692" s="37" t="s">
        <v>6083</v>
      </c>
    </row>
    <row r="693" spans="1:14" ht="20.100000000000001" customHeight="1" x14ac:dyDescent="0.25">
      <c r="A693" s="36" t="s">
        <v>6079</v>
      </c>
      <c r="B693" s="37" t="s">
        <v>105</v>
      </c>
      <c r="C693" s="36">
        <v>7400202</v>
      </c>
      <c r="D693" s="37" t="s">
        <v>6084</v>
      </c>
      <c r="E693" s="36" t="s">
        <v>6087</v>
      </c>
      <c r="F693" s="21" t="str">
        <f>HYPERLINK("https://psearch.kitsapgov.com/webappa/index.html?parcelID=2274181&amp;Theme=Imagery","2274181")</f>
        <v>2274181</v>
      </c>
      <c r="G693" s="37" t="s">
        <v>6086</v>
      </c>
      <c r="H693" s="38">
        <v>45594</v>
      </c>
      <c r="I693" s="39">
        <v>3250000</v>
      </c>
      <c r="J693" s="40">
        <v>2.4500000000000002</v>
      </c>
      <c r="K693" s="37" t="s">
        <v>205</v>
      </c>
      <c r="L693" s="37" t="s">
        <v>4517</v>
      </c>
      <c r="M693" s="37" t="s">
        <v>6082</v>
      </c>
      <c r="N693" s="37" t="s">
        <v>6083</v>
      </c>
    </row>
    <row r="694" spans="1:14" ht="20.100000000000001" customHeight="1" x14ac:dyDescent="0.25">
      <c r="A694" s="36" t="s">
        <v>6079</v>
      </c>
      <c r="B694" s="37" t="s">
        <v>2329</v>
      </c>
      <c r="C694" s="36">
        <v>9400202</v>
      </c>
      <c r="D694" s="37" t="s">
        <v>2101</v>
      </c>
      <c r="E694" s="36" t="s">
        <v>6088</v>
      </c>
      <c r="F694" s="21" t="str">
        <f>HYPERLINK("https://psearch.kitsapgov.com/webappa/index.html?parcelID=2274199&amp;Theme=Imagery","2274199")</f>
        <v>2274199</v>
      </c>
      <c r="G694" s="37" t="s">
        <v>6089</v>
      </c>
      <c r="H694" s="38">
        <v>45594</v>
      </c>
      <c r="I694" s="39">
        <v>3250000</v>
      </c>
      <c r="J694" s="40">
        <v>8.51</v>
      </c>
      <c r="K694" s="37" t="s">
        <v>205</v>
      </c>
      <c r="L694" s="37" t="s">
        <v>4517</v>
      </c>
      <c r="M694" s="37" t="s">
        <v>6082</v>
      </c>
      <c r="N694" s="37" t="s">
        <v>6083</v>
      </c>
    </row>
    <row r="695" spans="1:14" ht="20.100000000000001" customHeight="1" x14ac:dyDescent="0.25">
      <c r="A695" s="36" t="s">
        <v>6079</v>
      </c>
      <c r="B695" s="37" t="s">
        <v>2329</v>
      </c>
      <c r="C695" s="36">
        <v>9400202</v>
      </c>
      <c r="D695" s="37" t="s">
        <v>2101</v>
      </c>
      <c r="E695" s="36" t="s">
        <v>6090</v>
      </c>
      <c r="F695" s="21" t="str">
        <f>HYPERLINK("https://psearch.kitsapgov.com/webappa/index.html?parcelID=2346526&amp;Theme=Imagery","2346526")</f>
        <v>2346526</v>
      </c>
      <c r="G695" s="37" t="s">
        <v>6091</v>
      </c>
      <c r="H695" s="38">
        <v>45594</v>
      </c>
      <c r="I695" s="39">
        <v>3250000</v>
      </c>
      <c r="J695" s="40">
        <v>0</v>
      </c>
      <c r="L695" s="37" t="s">
        <v>4517</v>
      </c>
      <c r="M695" s="37" t="s">
        <v>6082</v>
      </c>
      <c r="N695" s="37" t="s">
        <v>6083</v>
      </c>
    </row>
    <row r="696" spans="1:14" ht="20.100000000000001" customHeight="1" x14ac:dyDescent="0.25">
      <c r="A696" s="36" t="s">
        <v>6079</v>
      </c>
      <c r="B696" s="37" t="s">
        <v>2329</v>
      </c>
      <c r="C696" s="36">
        <v>8100502</v>
      </c>
      <c r="D696" s="37" t="s">
        <v>142</v>
      </c>
      <c r="E696" s="36" t="s">
        <v>6092</v>
      </c>
      <c r="F696" s="21" t="str">
        <f>HYPERLINK("https://psearch.kitsapgov.com/webappa/index.html?parcelID=1430859&amp;Theme=Imagery","1430859")</f>
        <v>1430859</v>
      </c>
      <c r="G696" s="37" t="s">
        <v>6093</v>
      </c>
      <c r="H696" s="38">
        <v>45594</v>
      </c>
      <c r="I696" s="39">
        <v>3250000</v>
      </c>
      <c r="J696" s="40">
        <v>2.19</v>
      </c>
      <c r="K696" s="37" t="s">
        <v>145</v>
      </c>
      <c r="L696" s="37" t="s">
        <v>4517</v>
      </c>
      <c r="M696" s="37" t="s">
        <v>6082</v>
      </c>
      <c r="N696" s="37" t="s">
        <v>6083</v>
      </c>
    </row>
    <row r="697" spans="1:14" ht="20.100000000000001" customHeight="1" x14ac:dyDescent="0.25">
      <c r="A697" s="36" t="s">
        <v>6079</v>
      </c>
      <c r="B697" s="37" t="s">
        <v>2329</v>
      </c>
      <c r="C697" s="36">
        <v>9100541</v>
      </c>
      <c r="D697" s="37" t="s">
        <v>186</v>
      </c>
      <c r="E697" s="36" t="s">
        <v>6094</v>
      </c>
      <c r="F697" s="21" t="str">
        <f>HYPERLINK("https://psearch.kitsapgov.com/webappa/index.html?parcelID=1743368&amp;Theme=Imagery","1743368")</f>
        <v>1743368</v>
      </c>
      <c r="G697" s="37" t="s">
        <v>6095</v>
      </c>
      <c r="H697" s="38">
        <v>45594</v>
      </c>
      <c r="I697" s="39">
        <v>3250000</v>
      </c>
      <c r="J697" s="40">
        <v>5.07</v>
      </c>
      <c r="K697" s="37" t="s">
        <v>176</v>
      </c>
      <c r="L697" s="37" t="s">
        <v>4517</v>
      </c>
      <c r="M697" s="37" t="s">
        <v>6082</v>
      </c>
      <c r="N697" s="37" t="s">
        <v>6083</v>
      </c>
    </row>
    <row r="698" spans="1:14" ht="20.100000000000001" customHeight="1" x14ac:dyDescent="0.25">
      <c r="A698" s="36" t="s">
        <v>6079</v>
      </c>
      <c r="B698" s="37" t="s">
        <v>2329</v>
      </c>
      <c r="C698" s="36">
        <v>9100541</v>
      </c>
      <c r="D698" s="37" t="s">
        <v>186</v>
      </c>
      <c r="E698" s="36" t="s">
        <v>6096</v>
      </c>
      <c r="F698" s="21" t="str">
        <f>HYPERLINK("https://psearch.kitsapgov.com/webappa/index.html?parcelID=1743376&amp;Theme=Imagery","1743376")</f>
        <v>1743376</v>
      </c>
      <c r="G698" s="37" t="s">
        <v>6097</v>
      </c>
      <c r="H698" s="38">
        <v>45594</v>
      </c>
      <c r="I698" s="39">
        <v>3250000</v>
      </c>
      <c r="J698" s="40">
        <v>5.44</v>
      </c>
      <c r="K698" s="37" t="s">
        <v>377</v>
      </c>
      <c r="L698" s="37" t="s">
        <v>4517</v>
      </c>
      <c r="M698" s="37" t="s">
        <v>6082</v>
      </c>
      <c r="N698" s="37" t="s">
        <v>6083</v>
      </c>
    </row>
    <row r="699" spans="1:14" ht="20.100000000000001" customHeight="1" x14ac:dyDescent="0.25">
      <c r="A699" s="36" t="s">
        <v>6079</v>
      </c>
      <c r="B699" s="37" t="s">
        <v>2329</v>
      </c>
      <c r="C699" s="36">
        <v>9100541</v>
      </c>
      <c r="D699" s="37" t="s">
        <v>186</v>
      </c>
      <c r="E699" s="36" t="s">
        <v>6098</v>
      </c>
      <c r="F699" s="21" t="str">
        <f>HYPERLINK("https://psearch.kitsapgov.com/webappa/index.html?parcelID=1743384&amp;Theme=Imagery","1743384")</f>
        <v>1743384</v>
      </c>
      <c r="G699" s="37" t="s">
        <v>6099</v>
      </c>
      <c r="H699" s="38">
        <v>45594</v>
      </c>
      <c r="I699" s="39">
        <v>3250000</v>
      </c>
      <c r="J699" s="40">
        <v>7.03</v>
      </c>
      <c r="K699" s="37" t="s">
        <v>377</v>
      </c>
      <c r="L699" s="37" t="s">
        <v>4517</v>
      </c>
      <c r="M699" s="37" t="s">
        <v>6082</v>
      </c>
      <c r="N699" s="37" t="s">
        <v>6083</v>
      </c>
    </row>
    <row r="700" spans="1:14" ht="20.100000000000001" customHeight="1" x14ac:dyDescent="0.25">
      <c r="A700" s="36" t="s">
        <v>6079</v>
      </c>
      <c r="B700" s="37" t="s">
        <v>2329</v>
      </c>
      <c r="C700" s="36">
        <v>9100541</v>
      </c>
      <c r="D700" s="37" t="s">
        <v>186</v>
      </c>
      <c r="E700" s="36" t="s">
        <v>6100</v>
      </c>
      <c r="F700" s="21" t="str">
        <f>HYPERLINK("https://psearch.kitsapgov.com/webappa/index.html?parcelID=1743392&amp;Theme=Imagery","1743392")</f>
        <v>1743392</v>
      </c>
      <c r="G700" s="37" t="s">
        <v>6101</v>
      </c>
      <c r="H700" s="38">
        <v>45594</v>
      </c>
      <c r="I700" s="39">
        <v>3250000</v>
      </c>
      <c r="J700" s="40">
        <v>5.96</v>
      </c>
      <c r="K700" s="37" t="s">
        <v>377</v>
      </c>
      <c r="L700" s="37" t="s">
        <v>4517</v>
      </c>
      <c r="M700" s="37" t="s">
        <v>6082</v>
      </c>
      <c r="N700" s="37" t="s">
        <v>6083</v>
      </c>
    </row>
    <row r="701" spans="1:14" ht="20.100000000000001" customHeight="1" x14ac:dyDescent="0.25">
      <c r="A701" s="36" t="s">
        <v>6079</v>
      </c>
      <c r="B701" s="37" t="s">
        <v>2329</v>
      </c>
      <c r="C701" s="36">
        <v>9100541</v>
      </c>
      <c r="D701" s="37" t="s">
        <v>186</v>
      </c>
      <c r="E701" s="36" t="s">
        <v>6102</v>
      </c>
      <c r="F701" s="21" t="str">
        <f>HYPERLINK("https://psearch.kitsapgov.com/webappa/index.html?parcelID=2126035&amp;Theme=Imagery","2126035")</f>
        <v>2126035</v>
      </c>
      <c r="G701" s="37" t="s">
        <v>6103</v>
      </c>
      <c r="H701" s="38">
        <v>45594</v>
      </c>
      <c r="I701" s="39">
        <v>3250000</v>
      </c>
      <c r="J701" s="40">
        <v>0</v>
      </c>
      <c r="L701" s="37" t="s">
        <v>4517</v>
      </c>
      <c r="M701" s="37" t="s">
        <v>6082</v>
      </c>
      <c r="N701" s="37" t="s">
        <v>6083</v>
      </c>
    </row>
    <row r="702" spans="1:14" ht="39.950000000000003" customHeight="1" x14ac:dyDescent="0.25">
      <c r="A702" s="36" t="s">
        <v>6104</v>
      </c>
      <c r="B702" s="37" t="s">
        <v>105</v>
      </c>
      <c r="C702" s="36">
        <v>8100506</v>
      </c>
      <c r="D702" s="37" t="s">
        <v>286</v>
      </c>
      <c r="E702" s="36" t="s">
        <v>6105</v>
      </c>
      <c r="F702" s="21" t="str">
        <f>HYPERLINK("https://psearch.kitsapgov.com/webappa/index.html?parcelID=2619229&amp;Theme=Imagery","2619229")</f>
        <v>2619229</v>
      </c>
      <c r="G702" s="37" t="s">
        <v>6106</v>
      </c>
      <c r="H702" s="38">
        <v>45610</v>
      </c>
      <c r="I702" s="39">
        <v>675000</v>
      </c>
      <c r="J702" s="40">
        <v>0.06</v>
      </c>
      <c r="K702" s="37" t="s">
        <v>980</v>
      </c>
      <c r="L702" s="37" t="s">
        <v>4517</v>
      </c>
      <c r="M702" s="37" t="s">
        <v>6107</v>
      </c>
      <c r="N702" s="37" t="s">
        <v>6108</v>
      </c>
    </row>
    <row r="703" spans="1:14" ht="20.100000000000001" customHeight="1" x14ac:dyDescent="0.25">
      <c r="A703" s="36" t="s">
        <v>6104</v>
      </c>
      <c r="B703" s="37" t="s">
        <v>24</v>
      </c>
      <c r="C703" s="36">
        <v>8100506</v>
      </c>
      <c r="D703" s="37" t="s">
        <v>286</v>
      </c>
      <c r="E703" s="36" t="s">
        <v>6109</v>
      </c>
      <c r="F703" s="21" t="str">
        <f>HYPERLINK("https://psearch.kitsapgov.com/webappa/index.html?parcelID=2619237&amp;Theme=Imagery","2619237")</f>
        <v>2619237</v>
      </c>
      <c r="G703" s="37" t="s">
        <v>6110</v>
      </c>
      <c r="H703" s="38">
        <v>45610</v>
      </c>
      <c r="I703" s="39">
        <v>675000</v>
      </c>
      <c r="J703" s="40">
        <v>0.08</v>
      </c>
      <c r="K703" s="37" t="s">
        <v>980</v>
      </c>
      <c r="L703" s="37" t="s">
        <v>4517</v>
      </c>
      <c r="M703" s="37" t="s">
        <v>6107</v>
      </c>
      <c r="N703" s="37" t="s">
        <v>6108</v>
      </c>
    </row>
    <row r="704" spans="1:14" ht="39.950000000000003" customHeight="1" x14ac:dyDescent="0.25">
      <c r="A704" s="36" t="s">
        <v>6111</v>
      </c>
      <c r="B704" s="37" t="s">
        <v>16</v>
      </c>
      <c r="C704" s="36">
        <v>8303601</v>
      </c>
      <c r="D704" s="37" t="s">
        <v>25</v>
      </c>
      <c r="E704" s="36" t="s">
        <v>6112</v>
      </c>
      <c r="F704" s="21" t="str">
        <f>HYPERLINK("https://psearch.kitsapgov.com/webappa/index.html?parcelID=2506947&amp;Theme=Imagery","2506947")</f>
        <v>2506947</v>
      </c>
      <c r="G704" s="37" t="s">
        <v>6113</v>
      </c>
      <c r="H704" s="38">
        <v>45604</v>
      </c>
      <c r="I704" s="39">
        <v>750000</v>
      </c>
      <c r="J704" s="40">
        <v>0</v>
      </c>
      <c r="L704" s="37" t="s">
        <v>4517</v>
      </c>
      <c r="M704" s="37" t="s">
        <v>4086</v>
      </c>
      <c r="N704" s="37" t="s">
        <v>6114</v>
      </c>
    </row>
    <row r="705" spans="1:14" ht="20.100000000000001" customHeight="1" x14ac:dyDescent="0.25">
      <c r="A705" s="36" t="s">
        <v>6111</v>
      </c>
      <c r="B705" s="37" t="s">
        <v>16</v>
      </c>
      <c r="C705" s="36">
        <v>8303601</v>
      </c>
      <c r="D705" s="37" t="s">
        <v>25</v>
      </c>
      <c r="E705" s="36" t="s">
        <v>6115</v>
      </c>
      <c r="F705" s="21" t="str">
        <f>HYPERLINK("https://psearch.kitsapgov.com/webappa/index.html?parcelID=2510527&amp;Theme=Imagery","2510527")</f>
        <v>2510527</v>
      </c>
      <c r="G705" s="37" t="s">
        <v>6116</v>
      </c>
      <c r="H705" s="38">
        <v>45604</v>
      </c>
      <c r="I705" s="39">
        <v>750000</v>
      </c>
      <c r="J705" s="40">
        <v>0</v>
      </c>
      <c r="L705" s="37" t="s">
        <v>4517</v>
      </c>
      <c r="M705" s="37" t="s">
        <v>4086</v>
      </c>
      <c r="N705" s="37" t="s">
        <v>6114</v>
      </c>
    </row>
    <row r="706" spans="1:14" ht="39.950000000000003" customHeight="1" x14ac:dyDescent="0.25">
      <c r="A706" s="36" t="s">
        <v>6117</v>
      </c>
      <c r="B706" s="37" t="s">
        <v>105</v>
      </c>
      <c r="C706" s="36">
        <v>8402305</v>
      </c>
      <c r="D706" s="37" t="s">
        <v>452</v>
      </c>
      <c r="E706" s="36" t="s">
        <v>6118</v>
      </c>
      <c r="F706" s="21" t="str">
        <f>HYPERLINK("https://psearch.kitsapgov.com/webappa/index.html?parcelID=1776681&amp;Theme=Imagery","1776681")</f>
        <v>1776681</v>
      </c>
      <c r="G706" s="37" t="s">
        <v>6119</v>
      </c>
      <c r="H706" s="38">
        <v>45611</v>
      </c>
      <c r="I706" s="39">
        <v>1450000</v>
      </c>
      <c r="J706" s="40">
        <v>1.9</v>
      </c>
      <c r="K706" s="37" t="s">
        <v>2040</v>
      </c>
      <c r="L706" s="37" t="s">
        <v>4517</v>
      </c>
      <c r="M706" s="37" t="s">
        <v>6120</v>
      </c>
      <c r="N706" s="37" t="s">
        <v>6121</v>
      </c>
    </row>
    <row r="707" spans="1:14" ht="20.100000000000001" customHeight="1" x14ac:dyDescent="0.25">
      <c r="A707" s="36" t="s">
        <v>6117</v>
      </c>
      <c r="B707" s="37" t="s">
        <v>105</v>
      </c>
      <c r="C707" s="36">
        <v>8402305</v>
      </c>
      <c r="D707" s="37" t="s">
        <v>452</v>
      </c>
      <c r="E707" s="36" t="s">
        <v>6122</v>
      </c>
      <c r="F707" s="21" t="str">
        <f>HYPERLINK("https://psearch.kitsapgov.com/webappa/index.html?parcelID=1776699&amp;Theme=Imagery","1776699")</f>
        <v>1776699</v>
      </c>
      <c r="G707" s="37" t="s">
        <v>6123</v>
      </c>
      <c r="H707" s="38">
        <v>45611</v>
      </c>
      <c r="I707" s="39">
        <v>1450000</v>
      </c>
      <c r="J707" s="40">
        <v>0.93</v>
      </c>
      <c r="K707" s="37" t="s">
        <v>2040</v>
      </c>
      <c r="L707" s="37" t="s">
        <v>4517</v>
      </c>
      <c r="M707" s="37" t="s">
        <v>6120</v>
      </c>
      <c r="N707" s="37" t="s">
        <v>6121</v>
      </c>
    </row>
    <row r="708" spans="1:14" ht="20.100000000000001" customHeight="1" x14ac:dyDescent="0.25">
      <c r="A708" s="36" t="s">
        <v>6117</v>
      </c>
      <c r="B708" s="37" t="s">
        <v>70</v>
      </c>
      <c r="C708" s="36">
        <v>8402305</v>
      </c>
      <c r="D708" s="37" t="s">
        <v>452</v>
      </c>
      <c r="E708" s="36" t="s">
        <v>6124</v>
      </c>
      <c r="F708" s="21" t="str">
        <f>HYPERLINK("https://psearch.kitsapgov.com/webappa/index.html?parcelID=1776707&amp;Theme=Imagery","1776707")</f>
        <v>1776707</v>
      </c>
      <c r="G708" s="37" t="s">
        <v>6125</v>
      </c>
      <c r="H708" s="38">
        <v>45611</v>
      </c>
      <c r="I708" s="39">
        <v>1450000</v>
      </c>
      <c r="J708" s="40">
        <v>0.95</v>
      </c>
      <c r="K708" s="37" t="s">
        <v>2040</v>
      </c>
      <c r="L708" s="37" t="s">
        <v>4517</v>
      </c>
      <c r="M708" s="37" t="s">
        <v>6120</v>
      </c>
      <c r="N708" s="37" t="s">
        <v>6121</v>
      </c>
    </row>
    <row r="709" spans="1:14" ht="39.950000000000003" customHeight="1" x14ac:dyDescent="0.25">
      <c r="A709" s="36" t="s">
        <v>6126</v>
      </c>
      <c r="B709" s="37" t="s">
        <v>4251</v>
      </c>
      <c r="C709" s="36">
        <v>8401101</v>
      </c>
      <c r="D709" s="37" t="s">
        <v>305</v>
      </c>
      <c r="E709" s="36" t="s">
        <v>6127</v>
      </c>
      <c r="F709" s="21" t="str">
        <f>HYPERLINK("https://psearch.kitsapgov.com/webappa/index.html?parcelID=1921063&amp;Theme=Imagery","1921063")</f>
        <v>1921063</v>
      </c>
      <c r="G709" s="37" t="s">
        <v>6128</v>
      </c>
      <c r="H709" s="38">
        <v>45638</v>
      </c>
      <c r="I709" s="39">
        <v>25725000</v>
      </c>
      <c r="J709" s="40">
        <v>4.55</v>
      </c>
      <c r="K709" s="37" t="s">
        <v>308</v>
      </c>
      <c r="L709" s="37" t="s">
        <v>4517</v>
      </c>
      <c r="M709" s="37" t="s">
        <v>6129</v>
      </c>
      <c r="N709" s="37" t="s">
        <v>6130</v>
      </c>
    </row>
    <row r="710" spans="1:14" ht="20.100000000000001" customHeight="1" x14ac:dyDescent="0.25">
      <c r="A710" s="36" t="s">
        <v>6126</v>
      </c>
      <c r="B710" s="37" t="s">
        <v>4251</v>
      </c>
      <c r="C710" s="36">
        <v>8401101</v>
      </c>
      <c r="D710" s="37" t="s">
        <v>305</v>
      </c>
      <c r="E710" s="36" t="s">
        <v>6131</v>
      </c>
      <c r="F710" s="21" t="str">
        <f>HYPERLINK("https://psearch.kitsapgov.com/webappa/index.html?parcelID=1983717&amp;Theme=Imagery","1983717")</f>
        <v>1983717</v>
      </c>
      <c r="G710" s="37" t="s">
        <v>6132</v>
      </c>
      <c r="H710" s="38">
        <v>45638</v>
      </c>
      <c r="I710" s="39">
        <v>25725000</v>
      </c>
      <c r="J710" s="40">
        <v>10.28</v>
      </c>
      <c r="K710" s="37" t="s">
        <v>308</v>
      </c>
      <c r="L710" s="37" t="s">
        <v>4517</v>
      </c>
      <c r="M710" s="37" t="s">
        <v>6129</v>
      </c>
      <c r="N710" s="37" t="s">
        <v>6130</v>
      </c>
    </row>
    <row r="711" spans="1:14" ht="20.100000000000001" customHeight="1" x14ac:dyDescent="0.25">
      <c r="A711" s="36" t="s">
        <v>6126</v>
      </c>
      <c r="B711" s="37" t="s">
        <v>459</v>
      </c>
      <c r="C711" s="36">
        <v>8401101</v>
      </c>
      <c r="D711" s="37" t="s">
        <v>305</v>
      </c>
      <c r="E711" s="36" t="s">
        <v>6133</v>
      </c>
      <c r="F711" s="21" t="str">
        <f>HYPERLINK("https://psearch.kitsapgov.com/webappa/index.html?parcelID=2032332&amp;Theme=Imagery","2032332")</f>
        <v>2032332</v>
      </c>
      <c r="G711" s="37" t="s">
        <v>6134</v>
      </c>
      <c r="H711" s="38">
        <v>45638</v>
      </c>
      <c r="I711" s="39">
        <v>25725000</v>
      </c>
      <c r="J711" s="40">
        <v>5.33</v>
      </c>
      <c r="K711" s="37" t="s">
        <v>308</v>
      </c>
      <c r="L711" s="37" t="s">
        <v>4517</v>
      </c>
      <c r="M711" s="37" t="s">
        <v>6129</v>
      </c>
      <c r="N711" s="37" t="s">
        <v>6130</v>
      </c>
    </row>
    <row r="712" spans="1:14" ht="20.100000000000001" customHeight="1" x14ac:dyDescent="0.25">
      <c r="A712" s="36" t="s">
        <v>6126</v>
      </c>
      <c r="B712" s="37" t="s">
        <v>4251</v>
      </c>
      <c r="C712" s="36">
        <v>8401101</v>
      </c>
      <c r="D712" s="37" t="s">
        <v>305</v>
      </c>
      <c r="E712" s="36" t="s">
        <v>6135</v>
      </c>
      <c r="F712" s="21" t="str">
        <f>HYPERLINK("https://psearch.kitsapgov.com/webappa/index.html?parcelID=2211902&amp;Theme=Imagery","2211902")</f>
        <v>2211902</v>
      </c>
      <c r="G712" s="37" t="s">
        <v>6136</v>
      </c>
      <c r="H712" s="38">
        <v>45638</v>
      </c>
      <c r="I712" s="39">
        <v>25725000</v>
      </c>
      <c r="J712" s="40">
        <v>12.24</v>
      </c>
      <c r="K712" s="37" t="s">
        <v>308</v>
      </c>
      <c r="L712" s="37" t="s">
        <v>4517</v>
      </c>
      <c r="M712" s="37" t="s">
        <v>6129</v>
      </c>
      <c r="N712" s="37" t="s">
        <v>6130</v>
      </c>
    </row>
    <row r="713" spans="1:14" ht="20.100000000000001" customHeight="1" x14ac:dyDescent="0.25">
      <c r="A713" s="36" t="s">
        <v>6126</v>
      </c>
      <c r="B713" s="37" t="s">
        <v>4251</v>
      </c>
      <c r="C713" s="36">
        <v>8401101</v>
      </c>
      <c r="D713" s="37" t="s">
        <v>305</v>
      </c>
      <c r="E713" s="36" t="s">
        <v>6137</v>
      </c>
      <c r="F713" s="21" t="str">
        <f>HYPERLINK("https://psearch.kitsapgov.com/webappa/index.html?parcelID=2211910&amp;Theme=Imagery","2211910")</f>
        <v>2211910</v>
      </c>
      <c r="G713" s="37" t="s">
        <v>6138</v>
      </c>
      <c r="H713" s="38">
        <v>45638</v>
      </c>
      <c r="I713" s="39">
        <v>25725000</v>
      </c>
      <c r="J713" s="40">
        <v>10.54</v>
      </c>
      <c r="K713" s="37" t="s">
        <v>308</v>
      </c>
      <c r="L713" s="37" t="s">
        <v>4517</v>
      </c>
      <c r="M713" s="37" t="s">
        <v>6129</v>
      </c>
      <c r="N713" s="37" t="s">
        <v>6130</v>
      </c>
    </row>
    <row r="714" spans="1:14" ht="20.100000000000001" customHeight="1" x14ac:dyDescent="0.25">
      <c r="A714" s="36" t="s">
        <v>6126</v>
      </c>
      <c r="B714" s="37" t="s">
        <v>324</v>
      </c>
      <c r="C714" s="36">
        <v>8401101</v>
      </c>
      <c r="D714" s="37" t="s">
        <v>305</v>
      </c>
      <c r="E714" s="36" t="s">
        <v>6139</v>
      </c>
      <c r="F714" s="21" t="str">
        <f>HYPERLINK("https://psearch.kitsapgov.com/webappa/index.html?parcelID=2211928&amp;Theme=Imagery","2211928")</f>
        <v>2211928</v>
      </c>
      <c r="G714" s="37" t="s">
        <v>6140</v>
      </c>
      <c r="H714" s="38">
        <v>45638</v>
      </c>
      <c r="I714" s="39">
        <v>25725000</v>
      </c>
      <c r="J714" s="40">
        <v>1.97</v>
      </c>
      <c r="K714" s="37" t="s">
        <v>308</v>
      </c>
      <c r="L714" s="37" t="s">
        <v>4517</v>
      </c>
      <c r="M714" s="37" t="s">
        <v>6129</v>
      </c>
      <c r="N714" s="37" t="s">
        <v>6130</v>
      </c>
    </row>
    <row r="715" spans="1:14" ht="20.100000000000001" customHeight="1" x14ac:dyDescent="0.25">
      <c r="A715" s="36" t="s">
        <v>6126</v>
      </c>
      <c r="B715" s="37" t="s">
        <v>459</v>
      </c>
      <c r="C715" s="36">
        <v>8401101</v>
      </c>
      <c r="D715" s="37" t="s">
        <v>305</v>
      </c>
      <c r="E715" s="36" t="s">
        <v>6141</v>
      </c>
      <c r="F715" s="21" t="str">
        <f>HYPERLINK("https://psearch.kitsapgov.com/webappa/index.html?parcelID=1921113&amp;Theme=Imagery","1921113")</f>
        <v>1921113</v>
      </c>
      <c r="G715" s="37" t="s">
        <v>6142</v>
      </c>
      <c r="H715" s="38">
        <v>45638</v>
      </c>
      <c r="I715" s="39">
        <v>25725000</v>
      </c>
      <c r="J715" s="40">
        <v>0.99</v>
      </c>
      <c r="K715" s="37" t="s">
        <v>308</v>
      </c>
      <c r="L715" s="37" t="s">
        <v>4517</v>
      </c>
      <c r="M715" s="37" t="s">
        <v>6129</v>
      </c>
      <c r="N715" s="37" t="s">
        <v>6130</v>
      </c>
    </row>
    <row r="716" spans="1:14" ht="39.950000000000003" customHeight="1" x14ac:dyDescent="0.25">
      <c r="A716" s="36" t="s">
        <v>6143</v>
      </c>
      <c r="B716" s="37" t="s">
        <v>533</v>
      </c>
      <c r="C716" s="36">
        <v>9100541</v>
      </c>
      <c r="D716" s="37" t="s">
        <v>186</v>
      </c>
      <c r="E716" s="36" t="s">
        <v>6144</v>
      </c>
      <c r="F716" s="21" t="str">
        <f>HYPERLINK("https://psearch.kitsapgov.com/webappa/index.html?parcelID=1444090&amp;Theme=Imagery","1444090")</f>
        <v>1444090</v>
      </c>
      <c r="G716" s="37" t="s">
        <v>6145</v>
      </c>
      <c r="H716" s="38">
        <v>45686</v>
      </c>
      <c r="I716" s="39">
        <v>145000</v>
      </c>
      <c r="J716" s="40">
        <v>0.08</v>
      </c>
      <c r="K716" s="37" t="s">
        <v>377</v>
      </c>
      <c r="L716" s="37" t="s">
        <v>4517</v>
      </c>
      <c r="M716" s="37" t="s">
        <v>6146</v>
      </c>
      <c r="N716" s="37" t="s">
        <v>6147</v>
      </c>
    </row>
    <row r="717" spans="1:14" ht="20.100000000000001" customHeight="1" x14ac:dyDescent="0.25">
      <c r="A717" s="36" t="s">
        <v>6143</v>
      </c>
      <c r="B717" s="37" t="s">
        <v>105</v>
      </c>
      <c r="C717" s="36">
        <v>9100541</v>
      </c>
      <c r="D717" s="37" t="s">
        <v>186</v>
      </c>
      <c r="E717" s="36" t="s">
        <v>6148</v>
      </c>
      <c r="F717" s="21" t="str">
        <f>HYPERLINK("https://psearch.kitsapgov.com/webappa/index.html?parcelID=1444108&amp;Theme=Imagery","1444108")</f>
        <v>1444108</v>
      </c>
      <c r="G717" s="37" t="s">
        <v>6149</v>
      </c>
      <c r="H717" s="38">
        <v>45686</v>
      </c>
      <c r="I717" s="39">
        <v>145000</v>
      </c>
      <c r="J717" s="40">
        <v>0.09</v>
      </c>
      <c r="K717" s="37" t="s">
        <v>377</v>
      </c>
      <c r="L717" s="37" t="s">
        <v>4517</v>
      </c>
      <c r="M717" s="37" t="s">
        <v>6146</v>
      </c>
      <c r="N717" s="37" t="s">
        <v>6147</v>
      </c>
    </row>
  </sheetData>
  <mergeCells count="1">
    <mergeCell ref="A1:D1"/>
  </mergeCells>
  <pageMargins left="0.75" right="0.75" top="1" bottom="1" header="0.5" footer="0.5"/>
  <pageSetup orientation="portrait" horizontalDpi="4294967294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CFE71B25173946AEA9921B964C554E" ma:contentTypeVersion="11" ma:contentTypeDescription="Create a new document." ma:contentTypeScope="" ma:versionID="468261511a49a1f7d25f3a67693dc125">
  <xsd:schema xmlns:xsd="http://www.w3.org/2001/XMLSchema" xmlns:xs="http://www.w3.org/2001/XMLSchema" xmlns:p="http://schemas.microsoft.com/office/2006/metadata/properties" xmlns:ns1="http://schemas.microsoft.com/sharepoint/v3" xmlns:ns2="35264d4d-001a-4fc3-895d-bd419debefda" targetNamespace="http://schemas.microsoft.com/office/2006/metadata/properties" ma:root="true" ma:fieldsID="4c68347d0f1a85d4a74dae612f46a18c" ns1:_="" ns2:_="">
    <xsd:import namespace="http://schemas.microsoft.com/sharepoint/v3"/>
    <xsd:import namespace="35264d4d-001a-4fc3-895d-bd419debefd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/>
                <xsd:element ref="ns2:Tax_x0020_Year" minOccurs="0"/>
                <xsd:element ref="ns2:Sales" minOccurs="0"/>
                <xsd:element ref="ns2:Neighborhood_x0020_Code" minOccurs="0"/>
                <xsd:element ref="ns2:Neighborhood_x0020_Name" minOccurs="0"/>
                <xsd:element ref="ns2:Model_x0020_Type" minOccurs="0"/>
                <xsd:element ref="ns2:Valuation_x0020_Type" minOccurs="0"/>
                <xsd:element ref="ns2:Inspection_x0020_Are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64d4d-001a-4fc3-895d-bd419debefda" elementFormDefault="qualified">
    <xsd:import namespace="http://schemas.microsoft.com/office/2006/documentManagement/types"/>
    <xsd:import namespace="http://schemas.microsoft.com/office/infopath/2007/PartnerControls"/>
    <xsd:element name="Category" ma:index="10" ma:displayName="Category" ma:format="Dropdown" ma:internalName="Category">
      <xsd:simpleType>
        <xsd:restriction base="dms:Choice">
          <xsd:enumeration value="Form"/>
          <xsd:enumeration value="Publication"/>
          <xsd:enumeration value="Assessment Book"/>
          <xsd:enumeration value="Residential Sales"/>
          <xsd:enumeration value="Commercial Sales"/>
          <xsd:enumeration value="Residential"/>
          <xsd:enumeration value="Commercial"/>
          <xsd:enumeration value="Sales"/>
          <xsd:enumeration value="Cadastral"/>
          <xsd:enumeration value="Personal Property"/>
          <xsd:enumeration value="Senior/Disabled"/>
          <xsd:enumeration value="Data Download"/>
          <xsd:enumeration value="Current Use"/>
          <xsd:enumeration value="Levy"/>
          <xsd:enumeration value="Commercial Value Model"/>
          <xsd:enumeration value="Single Family Residence, Mobile Homes, Duplex"/>
        </xsd:restriction>
      </xsd:simpleType>
    </xsd:element>
    <xsd:element name="Tax_x0020_Year" ma:index="11" nillable="true" ma:displayName="Tax Year" ma:format="Dropdown" ma:internalName="Tax_x0020_Year">
      <xsd:simpleType>
        <xsd:restriction base="dms:Choice"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  <xsd:enumeration value="&lt;empty&gt;"/>
        </xsd:restriction>
      </xsd:simpleType>
    </xsd:element>
    <xsd:element name="Sales" ma:index="12" nillable="true" ma:displayName="Sales" ma:format="Dropdown" ma:internalName="Sales">
      <xsd:simpleType>
        <xsd:restriction base="dms:Choice"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Neighborhood_x0020_Code" ma:index="13" nillable="true" ma:displayName="Neighborhood Code" ma:internalName="Neighborhood_x0020_Code">
      <xsd:simpleType>
        <xsd:restriction base="dms:Text">
          <xsd:maxLength value="255"/>
        </xsd:restriction>
      </xsd:simpleType>
    </xsd:element>
    <xsd:element name="Neighborhood_x0020_Name" ma:index="14" nillable="true" ma:displayName="Neighborhood Name" ma:internalName="Neighborhood_x0020_Name">
      <xsd:simpleType>
        <xsd:restriction base="dms:Text">
          <xsd:maxLength value="255"/>
        </xsd:restriction>
      </xsd:simpleType>
    </xsd:element>
    <xsd:element name="Model_x0020_Type" ma:index="15" nillable="true" ma:displayName="Model Type" ma:format="Dropdown" ma:internalName="Model_x0020_Type">
      <xsd:simpleType>
        <xsd:restriction base="dms:Choice">
          <xsd:enumeration value="Apartments"/>
          <xsd:enumeration value="Eating &amp; Drinking (Restaurants, Bars, Taverns)"/>
          <xsd:enumeration value="Land"/>
          <xsd:enumeration value="Office (General, Medical, Condo, Bank)"/>
          <xsd:enumeration value="Parking Lots &amp; Garages"/>
          <xsd:enumeration value="Retail - Stand Alone Drug Stores"/>
          <xsd:enumeration value="Retail - Large Single Tenant Retail and Supermarket"/>
          <xsd:enumeration value="Airplane Hangars"/>
          <xsd:enumeration value="Auto Dealer/Manufactured Home Dealers"/>
          <xsd:enumeration value="Auto Service Repair"/>
          <xsd:enumeration value="Condominium Boat Slips"/>
          <xsd:enumeration value="Big Box - Single Tenant"/>
          <xsd:enumeration value="Convenience Stores with Gas"/>
          <xsd:enumeration value="Quick Service Restaurants"/>
          <xsd:enumeration value="Lodging"/>
          <xsd:enumeration value="Marinas"/>
          <xsd:enumeration value="Mini Warehouses"/>
          <xsd:enumeration value="Mobile Home Parks"/>
          <xsd:enumeration value="Retail"/>
          <xsd:enumeration value="Senior Housing"/>
          <xsd:enumeration value="Warehouses"/>
          <xsd:enumeration value="Car Wash, Lube, Tune"/>
          <xsd:enumeration value="Churches"/>
          <xsd:enumeration value="Nursery"/>
          <xsd:enumeration value="Golf Courses"/>
          <xsd:enumeration value="Recreation, Gym, Theater/Cinema, Kennel, Skating, Bowling"/>
          <xsd:enumeration value="Single Family Residence or Commercially Zoned Land"/>
          <xsd:enumeration value="Multi-Family"/>
          <xsd:enumeration value="Water Systems"/>
          <xsd:enumeration value="Stats / Update History"/>
          <xsd:enumeration value="Land Lease"/>
          <xsd:enumeration value="Retail-Condo Units"/>
          <xsd:enumeration value="Retail - Supermarket and Big Box Medium"/>
          <xsd:enumeration value="Retail - Large Single Tenant"/>
          <xsd:enumeration value="Single Family Residence, Mobile Homes, Duplex"/>
        </xsd:restriction>
      </xsd:simpleType>
    </xsd:element>
    <xsd:element name="Valuation_x0020_Type" ma:index="16" nillable="true" ma:displayName="Valuation Type" ma:format="Dropdown" ma:internalName="Valuation_x0020_Type">
      <xsd:simpleType>
        <xsd:restriction base="dms:Choice">
          <xsd:enumeration value="Physical Inspection"/>
          <xsd:enumeration value="Annual Update"/>
          <xsd:enumeration value="Cost Approach Model"/>
        </xsd:restriction>
      </xsd:simpleType>
    </xsd:element>
    <xsd:element name="Inspection_x0020_Area" ma:index="17" nillable="true" ma:displayName="Inspection Area" ma:format="Dropdown" ma:internalName="Inspection_x0020_Area">
      <xsd:simpleType>
        <xsd:restriction base="dms:Choice">
          <xsd:enumeration value="Area 1 - Silverdale"/>
          <xsd:enumeration value="Area 2 - Poulsbo"/>
          <xsd:enumeration value="Area 3 - Kingston"/>
          <xsd:enumeration value="Area 3 - Port Orchard"/>
          <xsd:enumeration value="Area 4 - Rural South Kitsap"/>
          <xsd:enumeration value="Area 5 - Bremerton"/>
          <xsd:enumeration value="Area 6 - Bainbridge Island"/>
          <xsd:enumeration value="Countywid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Year xmlns="35264d4d-001a-4fc3-895d-bd419debefda" xsi:nil="true"/>
    <Neighborhood_x0020_Code xmlns="35264d4d-001a-4fc3-895d-bd419debefda" xsi:nil="true"/>
    <Category xmlns="35264d4d-001a-4fc3-895d-bd419debefda">Commercial Sales</Category>
    <Neighborhood_x0020_Name xmlns="35264d4d-001a-4fc3-895d-bd419debefda" xsi:nil="true"/>
    <Valuation_x0020_Type xmlns="35264d4d-001a-4fc3-895d-bd419debefda" xsi:nil="true"/>
    <PublishingExpirationDate xmlns="http://schemas.microsoft.com/sharepoint/v3" xsi:nil="true"/>
    <PublishingStartDate xmlns="http://schemas.microsoft.com/sharepoint/v3" xsi:nil="true"/>
    <Sales xmlns="35264d4d-001a-4fc3-895d-bd419debefda" xsi:nil="true"/>
    <Model_x0020_Type xmlns="35264d4d-001a-4fc3-895d-bd419debefda" xsi:nil="true"/>
    <Inspection_x0020_Area xmlns="35264d4d-001a-4fc3-895d-bd419debefda" xsi:nil="true"/>
  </documentManagement>
</p:properties>
</file>

<file path=customXml/itemProps1.xml><?xml version="1.0" encoding="utf-8"?>
<ds:datastoreItem xmlns:ds="http://schemas.openxmlformats.org/officeDocument/2006/customXml" ds:itemID="{DAF9D927-D668-4F99-A649-6FE43A640BDD}"/>
</file>

<file path=customXml/itemProps2.xml><?xml version="1.0" encoding="utf-8"?>
<ds:datastoreItem xmlns:ds="http://schemas.openxmlformats.org/officeDocument/2006/customXml" ds:itemID="{13AFD297-0FC5-4D49-BD63-83202977D768}"/>
</file>

<file path=customXml/itemProps3.xml><?xml version="1.0" encoding="utf-8"?>
<ds:datastoreItem xmlns:ds="http://schemas.openxmlformats.org/officeDocument/2006/customXml" ds:itemID="{C0BB6E54-B219-40CD-9FD1-5F50A837D8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Single-parcel sales</vt:lpstr>
      <vt:lpstr>Multi-parcel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Rachel Stapleton</dc:creator>
  <cp:lastModifiedBy>Rachel Stapleton</cp:lastModifiedBy>
  <dcterms:created xsi:type="dcterms:W3CDTF">2025-03-20T18:31:41Z</dcterms:created>
  <dcterms:modified xsi:type="dcterms:W3CDTF">2025-03-20T18:31:59Z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0x010100E1CFE71B25173946AEA9921B964C554E</vt:lpwstr>
  </property>
</Properties>
</file>