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ssr\Data\Web\Web Sales\"/>
    </mc:Choice>
  </mc:AlternateContent>
  <xr:revisionPtr revIDLastSave="0" documentId="13_ncr:1_{15B9509C-9C32-4107-9396-63FE69C22090}" xr6:coauthVersionLast="45" xr6:coauthVersionMax="45" xr10:uidLastSave="{00000000-0000-0000-0000-000000000000}"/>
  <bookViews>
    <workbookView xWindow="-120" yWindow="-120" windowWidth="29040" windowHeight="15840" xr2:uid="{37C703B1-68FD-40E0-82F0-DF8AADBEF82A}"/>
  </bookViews>
  <sheets>
    <sheet name="Single-parcel sales" sheetId="2" r:id="rId1"/>
    <sheet name="Multi-parcel sal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05" i="3" l="1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<sst xmlns="http://schemas.openxmlformats.org/spreadsheetml/2006/main" count="15848" uniqueCount="6311">
  <si>
    <t>Single-Parcel Sales</t>
  </si>
  <si>
    <t>Excise</t>
  </si>
  <si>
    <t>Use</t>
  </si>
  <si>
    <t>Nbrhd</t>
  </si>
  <si>
    <t>Nbrhd Name</t>
  </si>
  <si>
    <t>Tax Parcel</t>
  </si>
  <si>
    <t>Process no.</t>
  </si>
  <si>
    <t>Property</t>
  </si>
  <si>
    <t>Sale Dt</t>
  </si>
  <si>
    <t>Price</t>
  </si>
  <si>
    <t>Acres</t>
  </si>
  <si>
    <t>Current Zoning</t>
  </si>
  <si>
    <t>Validity</t>
  </si>
  <si>
    <t>Grantor</t>
  </si>
  <si>
    <t>Grantee</t>
  </si>
  <si>
    <t>2015EX00102</t>
  </si>
  <si>
    <t xml:space="preserve">507- Medical condo            </t>
  </si>
  <si>
    <t xml:space="preserve">Harrison Medical District     </t>
  </si>
  <si>
    <t>8073-000-003-0002</t>
  </si>
  <si>
    <t xml:space="preserve">Condo Unit C                        </t>
  </si>
  <si>
    <t>M - Other</t>
  </si>
  <si>
    <t xml:space="preserve">HOPKINS JOHN P                      </t>
  </si>
  <si>
    <t xml:space="preserve">TODDLIZZIE ENTERPRISES LLC          </t>
  </si>
  <si>
    <t>2015EX00152</t>
  </si>
  <si>
    <t xml:space="preserve">720- Public assembly          </t>
  </si>
  <si>
    <t xml:space="preserve">Wheaton Way                   </t>
  </si>
  <si>
    <t>122401-2-040-2001</t>
  </si>
  <si>
    <t xml:space="preserve">American Legion - E Brem            </t>
  </si>
  <si>
    <t xml:space="preserve">BR--DCC District Ctr Core     </t>
  </si>
  <si>
    <t>8 - Outlier</t>
  </si>
  <si>
    <t xml:space="preserve">2010 1 CRE WA RETAIL LLC            </t>
  </si>
  <si>
    <t>THE FILIPINO AMERICAN ASSN OF KITSAP</t>
  </si>
  <si>
    <t>2015EX00216</t>
  </si>
  <si>
    <t xml:space="preserve">591- Neighborhood center      </t>
  </si>
  <si>
    <t xml:space="preserve">Port Orchard UGA Downtown     </t>
  </si>
  <si>
    <t>4650-013-002-0006</t>
  </si>
  <si>
    <t xml:space="preserve">Retail &amp; 2nd Flr offices            </t>
  </si>
  <si>
    <t xml:space="preserve">PO--DMU Downtown Mix Use      </t>
  </si>
  <si>
    <t>V - Valid sale</t>
  </si>
  <si>
    <t xml:space="preserve">FREELAND JAY &amp; GABRIELLE L          </t>
  </si>
  <si>
    <t xml:space="preserve">ABADAN HOLDINGS LLC                 </t>
  </si>
  <si>
    <t>2015EX00451</t>
  </si>
  <si>
    <t xml:space="preserve">Poulsbo-COM                   </t>
  </si>
  <si>
    <t>5490-000-202-0002</t>
  </si>
  <si>
    <t xml:space="preserve">Cilla's Salon                       </t>
  </si>
  <si>
    <t xml:space="preserve">PL--RD                        </t>
  </si>
  <si>
    <t xml:space="preserve">TRILOON LLC                         </t>
  </si>
  <si>
    <t xml:space="preserve">LACKO JOSEPH M                      </t>
  </si>
  <si>
    <t>2015EX00489</t>
  </si>
  <si>
    <t xml:space="preserve">111- Single family residence  </t>
  </si>
  <si>
    <t xml:space="preserve">City of Bainbridge Island     </t>
  </si>
  <si>
    <t>262502-2-104-2006</t>
  </si>
  <si>
    <t xml:space="preserve">Highpoint Converted SFR             </t>
  </si>
  <si>
    <t xml:space="preserve">BI--MAD                       </t>
  </si>
  <si>
    <t xml:space="preserve">OLIVER HOUSE LLC                    </t>
  </si>
  <si>
    <t>MADISON AVENUE DEVELOPMENT COMPANY I</t>
  </si>
  <si>
    <t>2015EX00538</t>
  </si>
  <si>
    <t xml:space="preserve">910- Undeveloped land         </t>
  </si>
  <si>
    <t xml:space="preserve">Auto Center                   </t>
  </si>
  <si>
    <t>4502-012-019-0207</t>
  </si>
  <si>
    <t xml:space="preserve">BL in IND on Loxie Eagans           </t>
  </si>
  <si>
    <t xml:space="preserve">CO--IND                       </t>
  </si>
  <si>
    <t>K - $1000 or under</t>
  </si>
  <si>
    <t xml:space="preserve">CHAPMAN KARL E &amp; TANYA MARIE        </t>
  </si>
  <si>
    <t xml:space="preserve">REED JAMES L                        </t>
  </si>
  <si>
    <t>2015EX00580</t>
  </si>
  <si>
    <t xml:space="preserve">637- General warehouse        </t>
  </si>
  <si>
    <t xml:space="preserve">West Bremerton                </t>
  </si>
  <si>
    <t>202401-1-004-2007</t>
  </si>
  <si>
    <t xml:space="preserve">Nasco, Lile, Centerplate            </t>
  </si>
  <si>
    <t xml:space="preserve">BR--I Industrial              </t>
  </si>
  <si>
    <t xml:space="preserve">LILE OF WASHINGTON LLC              </t>
  </si>
  <si>
    <t xml:space="preserve">SOUND WEST WERNER ROAD LLC          </t>
  </si>
  <si>
    <t>2015EX00661</t>
  </si>
  <si>
    <t xml:space="preserve">638- Mini-warehouse           </t>
  </si>
  <si>
    <t xml:space="preserve">Gorst                         </t>
  </si>
  <si>
    <t>4539-000-008-0004</t>
  </si>
  <si>
    <t xml:space="preserve">U-haul Storage                      </t>
  </si>
  <si>
    <t xml:space="preserve">CO--C                         </t>
  </si>
  <si>
    <t>R - Imps added</t>
  </si>
  <si>
    <t xml:space="preserve">BAYVIEW MINI STORAGE LLC            </t>
  </si>
  <si>
    <t xml:space="preserve">AMERCO REAL ESTATE COMPANY          </t>
  </si>
  <si>
    <t>2015EX00663</t>
  </si>
  <si>
    <t>012401-2-127-2000</t>
  </si>
  <si>
    <t xml:space="preserve">Retail store &amp; warehouse on Hollis  </t>
  </si>
  <si>
    <t xml:space="preserve">BR--GC General Commercial     </t>
  </si>
  <si>
    <t xml:space="preserve">MUFG UNION BANK NA                  </t>
  </si>
  <si>
    <t xml:space="preserve">DUPEE THEODORE J                    </t>
  </si>
  <si>
    <t>2015EX00757</t>
  </si>
  <si>
    <t xml:space="preserve">590- Other retail trade       </t>
  </si>
  <si>
    <t xml:space="preserve">Highway 303 East Bremerton    </t>
  </si>
  <si>
    <t>352501-4-095-2003</t>
  </si>
  <si>
    <t xml:space="preserve">Dollar Tree                         </t>
  </si>
  <si>
    <t xml:space="preserve">PATRIOT EQUITY PARTNERS LLC         </t>
  </si>
  <si>
    <t xml:space="preserve">DREBICK INVESTMENTS LLC             </t>
  </si>
  <si>
    <t>2015EX00773</t>
  </si>
  <si>
    <t xml:space="preserve">690- Misc. services           </t>
  </si>
  <si>
    <t xml:space="preserve">Viking Way                    </t>
  </si>
  <si>
    <t>152601-1-080-2009</t>
  </si>
  <si>
    <t xml:space="preserve">Armstrong Degroot Engineering       </t>
  </si>
  <si>
    <t xml:space="preserve">PL--C                         </t>
  </si>
  <si>
    <t xml:space="preserve">DEGROOT PETER C &amp; ARMSTRONG HE      </t>
  </si>
  <si>
    <t xml:space="preserve">BERTSCH LLC                         </t>
  </si>
  <si>
    <t>2015EX00781</t>
  </si>
  <si>
    <t xml:space="preserve">122- 3 living units           </t>
  </si>
  <si>
    <t xml:space="preserve">East Bremerton UGA-COM        </t>
  </si>
  <si>
    <t>4682-000-024-0306</t>
  </si>
  <si>
    <t xml:space="preserve">                                    </t>
  </si>
  <si>
    <t xml:space="preserve">CO--UL                        </t>
  </si>
  <si>
    <t xml:space="preserve">PERKINS SHERMAN L                   </t>
  </si>
  <si>
    <t xml:space="preserve">WILKINS ROBERT H                    </t>
  </si>
  <si>
    <t>2015EX00787</t>
  </si>
  <si>
    <t>352501-4-090-2008</t>
  </si>
  <si>
    <t xml:space="preserve">Bellevue Healthcare                 </t>
  </si>
  <si>
    <t xml:space="preserve">NOFFRE LLLP                         </t>
  </si>
  <si>
    <t xml:space="preserve">ARCHIE MARY LLC                     </t>
  </si>
  <si>
    <t>2015EX00832</t>
  </si>
  <si>
    <t xml:space="preserve">Downtown Bremerton            </t>
  </si>
  <si>
    <t>3718-006-008-0006</t>
  </si>
  <si>
    <t xml:space="preserve">258 4th St-Wobbly Hopps / Office    </t>
  </si>
  <si>
    <t xml:space="preserve">BR--DC Downtown Core          </t>
  </si>
  <si>
    <t xml:space="preserve">RICE FERGUS BUILDING PARTNERSH      </t>
  </si>
  <si>
    <t xml:space="preserve">JANKOWSKI JON P &amp; SHEREE M          </t>
  </si>
  <si>
    <t>2015EX00922</t>
  </si>
  <si>
    <t xml:space="preserve">123- 4 living units           </t>
  </si>
  <si>
    <t xml:space="preserve">Chico-COM                     </t>
  </si>
  <si>
    <t>052401-4-055-2008</t>
  </si>
  <si>
    <t xml:space="preserve">Fourplex - Erlands Point            </t>
  </si>
  <si>
    <t xml:space="preserve">CO--RR                        </t>
  </si>
  <si>
    <t>F - Forced sale</t>
  </si>
  <si>
    <t xml:space="preserve">NORTHWEST TRUSTEE SERVICES INC      </t>
  </si>
  <si>
    <t xml:space="preserve">US BANK NA TRUSTEE                  </t>
  </si>
  <si>
    <t>2015EX00989</t>
  </si>
  <si>
    <t xml:space="preserve">North Kitsap                  </t>
  </si>
  <si>
    <t>292702-3-090-2005</t>
  </si>
  <si>
    <t xml:space="preserve">Kennedy Industrial Park             </t>
  </si>
  <si>
    <t xml:space="preserve">CO--REC                       </t>
  </si>
  <si>
    <t xml:space="preserve">KENNEDY D MIKE &amp; PATRICIA LEE       </t>
  </si>
  <si>
    <t xml:space="preserve">BAIR NICHOLAS A                     </t>
  </si>
  <si>
    <t>2015EX00991</t>
  </si>
  <si>
    <t>292702-3-092-2003</t>
  </si>
  <si>
    <t xml:space="preserve">BL Lot C W of Minder Rd             </t>
  </si>
  <si>
    <t>2015EX00998</t>
  </si>
  <si>
    <t xml:space="preserve">183- Sheds and garages        </t>
  </si>
  <si>
    <t xml:space="preserve">Central Kitsap                </t>
  </si>
  <si>
    <t>082401-3-068-2002</t>
  </si>
  <si>
    <t xml:space="preserve">Sml Whse on Chico Way               </t>
  </si>
  <si>
    <t xml:space="preserve">CO--RI                        </t>
  </si>
  <si>
    <t xml:space="preserve">TRITON MARINE CONST CORP            </t>
  </si>
  <si>
    <t xml:space="preserve">BAIR CHARLES E &amp; PATRICIA R         </t>
  </si>
  <si>
    <t>2015EX00999</t>
  </si>
  <si>
    <t xml:space="preserve">South Kitsap UGA              </t>
  </si>
  <si>
    <t>362401-3-062-2004</t>
  </si>
  <si>
    <t xml:space="preserve">St Vincent de Paul                  </t>
  </si>
  <si>
    <t xml:space="preserve">PO--CC Coml Corridor          </t>
  </si>
  <si>
    <t xml:space="preserve">FIRST CITIZENS BANK &amp; TRUST CO      </t>
  </si>
  <si>
    <t>SAINT VINCENT DE PAUL ST GABRIEL CON</t>
  </si>
  <si>
    <t>2015EX01002</t>
  </si>
  <si>
    <t xml:space="preserve">Highway 305                   </t>
  </si>
  <si>
    <t>232601-1-154-2000</t>
  </si>
  <si>
    <t xml:space="preserve">CVS Pharmacy # 10473                </t>
  </si>
  <si>
    <t xml:space="preserve">WASHINGTON CVS PHARMACY LLC         </t>
  </si>
  <si>
    <t xml:space="preserve">HJN HOTELS CORP                     </t>
  </si>
  <si>
    <t>2015EX01094</t>
  </si>
  <si>
    <t xml:space="preserve">505- Retail condo             </t>
  </si>
  <si>
    <t xml:space="preserve">Manchester                    </t>
  </si>
  <si>
    <t>8198-002-004-0007</t>
  </si>
  <si>
    <t xml:space="preserve">Unit C4, Building A                 </t>
  </si>
  <si>
    <t>T - Trade</t>
  </si>
  <si>
    <t xml:space="preserve">KATKE JEFFREY J TRUSTEE             </t>
  </si>
  <si>
    <t>2015EX01109</t>
  </si>
  <si>
    <t>3826-000-001-0005</t>
  </si>
  <si>
    <t xml:space="preserve">Pioneer Builders Supply             </t>
  </si>
  <si>
    <t xml:space="preserve">BR--FC Freeway Corridor       </t>
  </si>
  <si>
    <t>3 - Partial interest</t>
  </si>
  <si>
    <t xml:space="preserve">DAVIS ARLENE R 50%                  </t>
  </si>
  <si>
    <t xml:space="preserve">PACIFIC COAST SUPPLY LLC            </t>
  </si>
  <si>
    <t>2015EX01190</t>
  </si>
  <si>
    <t xml:space="preserve">Greater Poulsbo               </t>
  </si>
  <si>
    <t>272701-4-100-2004</t>
  </si>
  <si>
    <t xml:space="preserve">Warehouse Twelve Trees Lane         </t>
  </si>
  <si>
    <t xml:space="preserve">CO--TTEC                      </t>
  </si>
  <si>
    <t xml:space="preserve">RES-V LLC                           </t>
  </si>
  <si>
    <t xml:space="preserve">12 TREES FEI LLC                    </t>
  </si>
  <si>
    <t>2015EX01213</t>
  </si>
  <si>
    <t xml:space="preserve">Silverdale                    </t>
  </si>
  <si>
    <t>162501-3-119-2000</t>
  </si>
  <si>
    <t xml:space="preserve">Mickelberry-Goodwill Indus EXEMPT   </t>
  </si>
  <si>
    <t xml:space="preserve">CO--RC                        </t>
  </si>
  <si>
    <t xml:space="preserve">KIRBY PROPERTIES LLC                </t>
  </si>
  <si>
    <t xml:space="preserve">SEATTLE GOODWILL INDUSTRIES         </t>
  </si>
  <si>
    <t>2015EX01218</t>
  </si>
  <si>
    <t>052401-3-039-2001</t>
  </si>
  <si>
    <t xml:space="preserve">SFR on Chico Way                    </t>
  </si>
  <si>
    <t xml:space="preserve">CO--RCO                       </t>
  </si>
  <si>
    <t xml:space="preserve">PALERMO ADONIS D &amp; CORAZON A        </t>
  </si>
  <si>
    <t xml:space="preserve">VAN FOSSEN GERALD M &amp; DIANNE L      </t>
  </si>
  <si>
    <t>2015EX01292</t>
  </si>
  <si>
    <t>292702-3-079-2000</t>
  </si>
  <si>
    <t xml:space="preserve">BL Bond Rd, W of United Rd          </t>
  </si>
  <si>
    <t xml:space="preserve">CUTTING EDGE PROPERTIES LLC         </t>
  </si>
  <si>
    <t xml:space="preserve">WHITBECK JOE M                      </t>
  </si>
  <si>
    <t>2015EX01322</t>
  </si>
  <si>
    <t>262502-3-152-2005</t>
  </si>
  <si>
    <t xml:space="preserve">BL zoned ERICK @ end of Madrona Way </t>
  </si>
  <si>
    <t xml:space="preserve">BI--ERICK                     </t>
  </si>
  <si>
    <t xml:space="preserve">BAINBRIDGE COMMUNITY DEVELOPME      </t>
  </si>
  <si>
    <t xml:space="preserve">HALB PROPERTIES LLC                 </t>
  </si>
  <si>
    <t>2015EX01354</t>
  </si>
  <si>
    <t>3718-015-026-0104</t>
  </si>
  <si>
    <t xml:space="preserve">Retail shops &amp; Office w/2 priv.park </t>
  </si>
  <si>
    <t xml:space="preserve">THE MEDICAL DENTAL BLDG INVEST      </t>
  </si>
  <si>
    <t xml:space="preserve">WAKEFIELD JAY STUART                </t>
  </si>
  <si>
    <t>2015EX01367</t>
  </si>
  <si>
    <t xml:space="preserve">131- 5-9 living units         </t>
  </si>
  <si>
    <t>West Bremerton Uplands Cit-COM</t>
  </si>
  <si>
    <t>3803-000-004-0009</t>
  </si>
  <si>
    <t xml:space="preserve">5-Units @ 1117 Pacific Ave          </t>
  </si>
  <si>
    <t>BR--POMU Ped Oriented Mixed Us</t>
  </si>
  <si>
    <t xml:space="preserve">PRESLAR DAVID &amp; JEANNE              </t>
  </si>
  <si>
    <t xml:space="preserve">BARTELL CHRISTOPHER JOHN            </t>
  </si>
  <si>
    <t>2015EX01368</t>
  </si>
  <si>
    <t>162501-4-110-2007</t>
  </si>
  <si>
    <t xml:space="preserve">Tractor Supply &amp; lg retail          </t>
  </si>
  <si>
    <t xml:space="preserve">ABS WA O LLC                        </t>
  </si>
  <si>
    <t xml:space="preserve">SPIRIT SPE HG 2015-1 LLC            </t>
  </si>
  <si>
    <t>2015EX01461</t>
  </si>
  <si>
    <t xml:space="preserve">Industrial UGA Bremerton SKIA </t>
  </si>
  <si>
    <t>222301-2-015-1003</t>
  </si>
  <si>
    <t xml:space="preserve">Whes S of Hwy 3, W side of Lk Flora </t>
  </si>
  <si>
    <t xml:space="preserve">ROGERS SANDRA K                     </t>
  </si>
  <si>
    <t>RUSHFORTH REAL ESTATE INVESTMENTS LL</t>
  </si>
  <si>
    <t>2015EX01590</t>
  </si>
  <si>
    <t>152401-3-192-2002</t>
  </si>
  <si>
    <t xml:space="preserve">4 Units @ 133 N Marion Ave          </t>
  </si>
  <si>
    <t xml:space="preserve">BR--R-10                      </t>
  </si>
  <si>
    <t xml:space="preserve">BRADLEY FAMILY PROPERTIES 2 LL      </t>
  </si>
  <si>
    <t xml:space="preserve">LARSON KYLE &amp; JACKSON TAMMY         </t>
  </si>
  <si>
    <t>2015EX01731</t>
  </si>
  <si>
    <t xml:space="preserve">580- Restaurants              </t>
  </si>
  <si>
    <t>012401-2-126-2001</t>
  </si>
  <si>
    <t xml:space="preserve">4120 Wheaton Way - Los Cabos        </t>
  </si>
  <si>
    <t xml:space="preserve">RUBENS LLC                          </t>
  </si>
  <si>
    <t>2015EX01771</t>
  </si>
  <si>
    <t>112401-1-010-2000</t>
  </si>
  <si>
    <t xml:space="preserve">SFR &amp; Retail space                  </t>
  </si>
  <si>
    <t>Q - Quit claim deed</t>
  </si>
  <si>
    <t xml:space="preserve">LIM MUN KUE &amp; MYUNG J               </t>
  </si>
  <si>
    <t xml:space="preserve">LIM STEVE                           </t>
  </si>
  <si>
    <t>2015EX01772</t>
  </si>
  <si>
    <t>112401-1-009-2003</t>
  </si>
  <si>
    <t xml:space="preserve">Office/Retail Bldg @ 3035 Wheaton   </t>
  </si>
  <si>
    <t>2015EX01889</t>
  </si>
  <si>
    <t>3718-016-035-0002</t>
  </si>
  <si>
    <t xml:space="preserve">543 6th ave- Office w/SFR behind    </t>
  </si>
  <si>
    <t>6 - Tax Deed</t>
  </si>
  <si>
    <t xml:space="preserve">KITSAP COUNTY TREASURER             </t>
  </si>
  <si>
    <t xml:space="preserve">BULKHAK GEORGIY G                   </t>
  </si>
  <si>
    <t>2015EX02010</t>
  </si>
  <si>
    <t xml:space="preserve">South Kitsap UGA Other        </t>
  </si>
  <si>
    <t>4027-028-001-0001</t>
  </si>
  <si>
    <t xml:space="preserve">Annapolis Mini Storage              </t>
  </si>
  <si>
    <t xml:space="preserve">BAYSIDE STORAGE LLC                 </t>
  </si>
  <si>
    <t xml:space="preserve">GODING RYAN                         </t>
  </si>
  <si>
    <t>2015EX02083</t>
  </si>
  <si>
    <t xml:space="preserve">611- Banks                    </t>
  </si>
  <si>
    <t>3807-009-001-0108</t>
  </si>
  <si>
    <t xml:space="preserve">US Bank 6th and Naval               </t>
  </si>
  <si>
    <t xml:space="preserve">SANDPIPER LLC                       </t>
  </si>
  <si>
    <t>PHLEGER JEAN &amp; KLEIN DONALD C CO TRU</t>
  </si>
  <si>
    <t>2015EX02096</t>
  </si>
  <si>
    <t xml:space="preserve">Port Orchard-COM              </t>
  </si>
  <si>
    <t>352401-2-042-2002</t>
  </si>
  <si>
    <t xml:space="preserve">4-plex Sherman Ave south of Melcher </t>
  </si>
  <si>
    <t xml:space="preserve">PO--R8                        </t>
  </si>
  <si>
    <t xml:space="preserve">HUYETT JARED &amp; EASTSIDE FUNDING LLC </t>
  </si>
  <si>
    <t>2015EX02229</t>
  </si>
  <si>
    <t>032601-1-029-2007</t>
  </si>
  <si>
    <t xml:space="preserve">Ind land off Ryen contig w/028      </t>
  </si>
  <si>
    <t xml:space="preserve">PL--LI                        </t>
  </si>
  <si>
    <t xml:space="preserve">RAINIER FORECLOSURE SERVICES I      </t>
  </si>
  <si>
    <t>2010-1 RADC/CADC PROPERTY POULSBO LL</t>
  </si>
  <si>
    <t>2015EX02230</t>
  </si>
  <si>
    <t>032601-1-028-2008</t>
  </si>
  <si>
    <t xml:space="preserve">Ind land Front hwy 3 off Ryen w/029 </t>
  </si>
  <si>
    <t>2015EX02276</t>
  </si>
  <si>
    <t xml:space="preserve">500- Boat slip condo          </t>
  </si>
  <si>
    <t xml:space="preserve">Poulsbo Yacht Club            </t>
  </si>
  <si>
    <t>8070-002-038-0000</t>
  </si>
  <si>
    <t xml:space="preserve">PYC 48LF                            </t>
  </si>
  <si>
    <t>L - Lease property</t>
  </si>
  <si>
    <t xml:space="preserve">SHEEHAN DENNIS R &amp; JULIE P          </t>
  </si>
  <si>
    <t xml:space="preserve">LINK DAVID H &amp; V JOURNEL CAMPBELL   </t>
  </si>
  <si>
    <t>2015EX02303</t>
  </si>
  <si>
    <t>132401-2-056-2001</t>
  </si>
  <si>
    <t xml:space="preserve">4-Plex @ 307 11th Street Place      </t>
  </si>
  <si>
    <t xml:space="preserve">BR--MR1 MultiFamily Res 1     </t>
  </si>
  <si>
    <t xml:space="preserve">HERMAN ROBERT A &amp; SUSAN M BAKE      </t>
  </si>
  <si>
    <t xml:space="preserve">JUTTING JERRY W &amp; ZMOLEK JOHN W     </t>
  </si>
  <si>
    <t>2015EX02435</t>
  </si>
  <si>
    <t>5392-000-010-0003</t>
  </si>
  <si>
    <t xml:space="preserve">BL - PO Ind Park Lot 10             </t>
  </si>
  <si>
    <t xml:space="preserve">PO--LI Light Industrial       </t>
  </si>
  <si>
    <t xml:space="preserve">BERGEN RICHARDS LLC                 </t>
  </si>
  <si>
    <t xml:space="preserve">4S HOLDINGS LLC                     </t>
  </si>
  <si>
    <t>2015EX02447</t>
  </si>
  <si>
    <t xml:space="preserve">630- Business services        </t>
  </si>
  <si>
    <t>222702-3-040-2003</t>
  </si>
  <si>
    <t xml:space="preserve">Enginious Marchine Werks, etc.      </t>
  </si>
  <si>
    <t xml:space="preserve">CO--NC                        </t>
  </si>
  <si>
    <t xml:space="preserve">SEABREEZE LLC                       </t>
  </si>
  <si>
    <t xml:space="preserve">OCTANE CLASSICS LLC                 </t>
  </si>
  <si>
    <t>2015EX02481</t>
  </si>
  <si>
    <t xml:space="preserve">Bainbridge Island Condo Slips </t>
  </si>
  <si>
    <t>8056-005-036-0003</t>
  </si>
  <si>
    <t xml:space="preserve">FERGUSON ANGELA R                   </t>
  </si>
  <si>
    <t xml:space="preserve">GREEN SPOT INVESTMENTS LLC          </t>
  </si>
  <si>
    <t>2015EX02525</t>
  </si>
  <si>
    <t xml:space="preserve">504- Hangar condo             </t>
  </si>
  <si>
    <t>8164-015-003-0000</t>
  </si>
  <si>
    <t xml:space="preserve">T-Hangar B15-3 (Bld Only)           </t>
  </si>
  <si>
    <t xml:space="preserve">VOGEL KEITH R                       </t>
  </si>
  <si>
    <t xml:space="preserve">GRAHAM ANDREW &amp; REBECCA             </t>
  </si>
  <si>
    <t>2015EX02564</t>
  </si>
  <si>
    <t>4110-000-006-0003</t>
  </si>
  <si>
    <t xml:space="preserve">SFR on Wyatt                        </t>
  </si>
  <si>
    <t xml:space="preserve">BI--CORE                      </t>
  </si>
  <si>
    <t xml:space="preserve">ROSE PROPERTIES INC                 </t>
  </si>
  <si>
    <t xml:space="preserve">BURZYCKI ZIGOMND TRUSTEE            </t>
  </si>
  <si>
    <t>2015EX02671</t>
  </si>
  <si>
    <t xml:space="preserve">460- Parking                  </t>
  </si>
  <si>
    <t>252401-2-018-2004</t>
  </si>
  <si>
    <t xml:space="preserve">future auto dealer car lot          </t>
  </si>
  <si>
    <t xml:space="preserve">PO--CH Coml Heavy             </t>
  </si>
  <si>
    <t xml:space="preserve">PORT ORCHARD SHOPPING CENTER L      </t>
  </si>
  <si>
    <t xml:space="preserve">EAGLE 253 LLC                       </t>
  </si>
  <si>
    <t>2015EX02677</t>
  </si>
  <si>
    <t>8103-000-003-0006</t>
  </si>
  <si>
    <t xml:space="preserve">T Airplane Hangar Pt of Bremerton   </t>
  </si>
  <si>
    <t xml:space="preserve">GRIFFITH JAMES E &amp; BARBARA          </t>
  </si>
  <si>
    <t xml:space="preserve">BRYANT ROBERT &amp; LYNN                </t>
  </si>
  <si>
    <t>2015EX02694</t>
  </si>
  <si>
    <t>202501-2-034-2008</t>
  </si>
  <si>
    <t xml:space="preserve">Emils Tree Service                  </t>
  </si>
  <si>
    <t xml:space="preserve">EMEL ANN J &amp; DARREL L               </t>
  </si>
  <si>
    <t xml:space="preserve">WALSH RICHARD &amp; CALLA &amp;             </t>
  </si>
  <si>
    <t>2015EX02755</t>
  </si>
  <si>
    <t xml:space="preserve">640- Repair services          </t>
  </si>
  <si>
    <t>232601-1-141-2006</t>
  </si>
  <si>
    <t xml:space="preserve">Brown Bear Car Wash                 </t>
  </si>
  <si>
    <t xml:space="preserve">RAAB &amp; RAAB PROPERTIES LLC          </t>
  </si>
  <si>
    <t xml:space="preserve">CAR WASH ENTERPRISES INC            </t>
  </si>
  <si>
    <t>2015EX02768</t>
  </si>
  <si>
    <t>8056-004-037-0005</t>
  </si>
  <si>
    <t xml:space="preserve">WW D-37 (30lf)                      </t>
  </si>
  <si>
    <t xml:space="preserve">COLCORD MOEN KATHLEEN &amp; MOEN G      </t>
  </si>
  <si>
    <t xml:space="preserve">MAHONEY RICHARD L &amp; HARTMAN LOIS L  </t>
  </si>
  <si>
    <t>2015EX02770</t>
  </si>
  <si>
    <t xml:space="preserve">656- Convalescent centers     </t>
  </si>
  <si>
    <t>272502-1-057-2004</t>
  </si>
  <si>
    <t xml:space="preserve">Island Health &amp; Rehab Center        </t>
  </si>
  <si>
    <t xml:space="preserve">EXTENDICARE HOMES INC               </t>
  </si>
  <si>
    <t xml:space="preserve">BAINBRIDGE HEALTH HOLDINGS INC      </t>
  </si>
  <si>
    <t>2015EX02771</t>
  </si>
  <si>
    <t>8056-004-039-0003</t>
  </si>
  <si>
    <t xml:space="preserve">D-39                                </t>
  </si>
  <si>
    <t xml:space="preserve">MOEN GEORGE G &amp; COLCORD MOEN K      </t>
  </si>
  <si>
    <t>2015EX02791</t>
  </si>
  <si>
    <t xml:space="preserve">651- Medical/dental offices   </t>
  </si>
  <si>
    <t>362401-2-012-2007</t>
  </si>
  <si>
    <t xml:space="preserve">Chiropractic Health Center          </t>
  </si>
  <si>
    <t xml:space="preserve">PO--CMU Coml Mix Use          </t>
  </si>
  <si>
    <t>E - Estate sale</t>
  </si>
  <si>
    <t xml:space="preserve">SABELHAUS JEROME D                  </t>
  </si>
  <si>
    <t xml:space="preserve">JSS PROPERTIES LLC                  </t>
  </si>
  <si>
    <t>2015EX02827</t>
  </si>
  <si>
    <t>352501-1-073-2005</t>
  </si>
  <si>
    <t xml:space="preserve">Retail Store and Service Garage     </t>
  </si>
  <si>
    <t xml:space="preserve">PARKER GARY D TRUSTEE &amp; PARKER      </t>
  </si>
  <si>
    <t xml:space="preserve">KNOWLTON LLC                        </t>
  </si>
  <si>
    <t>2015EX02908</t>
  </si>
  <si>
    <t xml:space="preserve">132- 10-14 living units       </t>
  </si>
  <si>
    <t>3785-001-011-0109</t>
  </si>
  <si>
    <t xml:space="preserve">State Street Apartments and garages </t>
  </si>
  <si>
    <t xml:space="preserve">NAVARRO GODOFREDO L JR &amp; REINE      </t>
  </si>
  <si>
    <t xml:space="preserve">HAJ DONNA &amp; ISSAM                   </t>
  </si>
  <si>
    <t>2015EX02946</t>
  </si>
  <si>
    <t>2015EX02957</t>
  </si>
  <si>
    <t>3807-001-007-0000</t>
  </si>
  <si>
    <t xml:space="preserve">Hallet House Apartments             </t>
  </si>
  <si>
    <t xml:space="preserve">SUKUT LARRY L &amp; CARMACK INGA        </t>
  </si>
  <si>
    <t xml:space="preserve">KNUCKLEBUTT LLC                     </t>
  </si>
  <si>
    <t>2015EX02963</t>
  </si>
  <si>
    <t xml:space="preserve">137- 50+ living units         </t>
  </si>
  <si>
    <t xml:space="preserve">Silverdale UGA-COM            </t>
  </si>
  <si>
    <t>152501-3-046-2009</t>
  </si>
  <si>
    <t xml:space="preserve">The Reserve at Bucklin Hill         </t>
  </si>
  <si>
    <t xml:space="preserve">CO--UM                        </t>
  </si>
  <si>
    <t xml:space="preserve">EMERALD CREST LLC                   </t>
  </si>
  <si>
    <t xml:space="preserve">BUCKLIN HILL RESIDENTIAL LLC        </t>
  </si>
  <si>
    <t>2015EX02964</t>
  </si>
  <si>
    <t xml:space="preserve">Callow                        </t>
  </si>
  <si>
    <t>3806-005-016-0001</t>
  </si>
  <si>
    <t xml:space="preserve">104 N Callow - Pho Tai Restaurant   </t>
  </si>
  <si>
    <t xml:space="preserve">SUH DONG JOO &amp; SU J                 </t>
  </si>
  <si>
    <t xml:space="preserve">YUN KWANG J &amp; SUN H                 </t>
  </si>
  <si>
    <t>2015EX03059</t>
  </si>
  <si>
    <t xml:space="preserve">506- Office condo             </t>
  </si>
  <si>
    <t>8123-000-124-0006</t>
  </si>
  <si>
    <t xml:space="preserve">Madrona Commons Bldg A Unit 124     </t>
  </si>
  <si>
    <t xml:space="preserve">ARBUTUS RESOURCES LLC               </t>
  </si>
  <si>
    <t xml:space="preserve">OZZY HOLDINGS LLC                   </t>
  </si>
  <si>
    <t>2015EX03155</t>
  </si>
  <si>
    <t>162501-1-040-2008</t>
  </si>
  <si>
    <t xml:space="preserve">Doctor's Clinic - Silverdale        </t>
  </si>
  <si>
    <t xml:space="preserve">TIM RYAN PROPERTIES LP              </t>
  </si>
  <si>
    <t xml:space="preserve">HP SILVERDALE LLC                   </t>
  </si>
  <si>
    <t>2015EX03168</t>
  </si>
  <si>
    <t>8103-000-033-0000</t>
  </si>
  <si>
    <t xml:space="preserve">FORD ENGINEERING INC                </t>
  </si>
  <si>
    <t xml:space="preserve">FULLER MAURICE D &amp; MARIA A          </t>
  </si>
  <si>
    <t>2015EX03230</t>
  </si>
  <si>
    <t>062602-2-048-2008</t>
  </si>
  <si>
    <t xml:space="preserve">BL Bond Rd &amp; Stottlemeyer Rd.       </t>
  </si>
  <si>
    <t xml:space="preserve">COX DAVID M &amp; LESLIE A              </t>
  </si>
  <si>
    <t xml:space="preserve">DAY ROAD BUSINESS PARK LLC &amp;        </t>
  </si>
  <si>
    <t>2015EX03242</t>
  </si>
  <si>
    <t>142401-3-061-2001</t>
  </si>
  <si>
    <t xml:space="preserve">Gateway Ctr                         </t>
  </si>
  <si>
    <t xml:space="preserve">DEVELOPMENT SERVICES OF AMERIC      </t>
  </si>
  <si>
    <t xml:space="preserve">2525 6TH STREET LLC                 </t>
  </si>
  <si>
    <t>2015EX03258</t>
  </si>
  <si>
    <t>4502-016-032-0003</t>
  </si>
  <si>
    <t xml:space="preserve">SFR Loxie Eagans                    </t>
  </si>
  <si>
    <t xml:space="preserve">NAPIER JOSEPH C                     </t>
  </si>
  <si>
    <t>DEGRANDPRE NICHOLAS D &amp; DOEHLE REBEK</t>
  </si>
  <si>
    <t>2015EX03273</t>
  </si>
  <si>
    <t>4110-000-017-0000</t>
  </si>
  <si>
    <t xml:space="preserve">Duplex/Office and Fourplex Madrona  </t>
  </si>
  <si>
    <t xml:space="preserve">ISLAND GATEWAY LLC                  </t>
  </si>
  <si>
    <t xml:space="preserve">ROSEBUD II LLC                      </t>
  </si>
  <si>
    <t>2015EX03348</t>
  </si>
  <si>
    <t xml:space="preserve">581- Fast food                </t>
  </si>
  <si>
    <t>5597-000-001-0007</t>
  </si>
  <si>
    <t xml:space="preserve">Carl's Jr Fast Food                 </t>
  </si>
  <si>
    <t xml:space="preserve">BR--BVVC BayVistaVillageComml </t>
  </si>
  <si>
    <t xml:space="preserve">BREMERTON HOUSING AUTHORITY         </t>
  </si>
  <si>
    <t xml:space="preserve">BREMERTON PROPERTY LLC              </t>
  </si>
  <si>
    <t>2015EX03371</t>
  </si>
  <si>
    <t>8070-001-041-0007</t>
  </si>
  <si>
    <t xml:space="preserve">Poulsbo Yacht Club 48lf             </t>
  </si>
  <si>
    <t xml:space="preserve">BIEDUL MICHAEL C                    </t>
  </si>
  <si>
    <t xml:space="preserve">FREDRICKSON CHARLES L &amp; SANDRA      </t>
  </si>
  <si>
    <t>2015EX03448</t>
  </si>
  <si>
    <t>East Bremerton Uplands Cit-COM</t>
  </si>
  <si>
    <t>3965-000-161-0101</t>
  </si>
  <si>
    <t xml:space="preserve">SFR Hemlock                         </t>
  </si>
  <si>
    <t xml:space="preserve">BR--EC Employment Ctr         </t>
  </si>
  <si>
    <t xml:space="preserve">QUINLAN BETTY JANE ESTATE           </t>
  </si>
  <si>
    <t xml:space="preserve">STEINKE WILLIAM &amp; GLADYS            </t>
  </si>
  <si>
    <t>2015EX03542</t>
  </si>
  <si>
    <t>3733-006-017-0006</t>
  </si>
  <si>
    <t xml:space="preserve">SFR @ 309 Callow                    </t>
  </si>
  <si>
    <t>5 - Sheriff Sale</t>
  </si>
  <si>
    <t xml:space="preserve">SIMPSON GARY SHERIFF OF KITSAP      </t>
  </si>
  <si>
    <t>US BANK NATIONAL ASSOCIATION TRUSTEE</t>
  </si>
  <si>
    <t>2015EX03555</t>
  </si>
  <si>
    <t>5065-000-002-0009</t>
  </si>
  <si>
    <t xml:space="preserve">Pier 1 Imports                      </t>
  </si>
  <si>
    <t xml:space="preserve">DHJ PIER SILVERDALE LLC             </t>
  </si>
  <si>
    <t xml:space="preserve">STONE-WALL PROPERTIES INC           </t>
  </si>
  <si>
    <t>2015EX03645</t>
  </si>
  <si>
    <t>012401-2-149-2004</t>
  </si>
  <si>
    <t xml:space="preserve">MONEY TREE                          </t>
  </si>
  <si>
    <t xml:space="preserve">DMK INVESTMENTS LLC                 </t>
  </si>
  <si>
    <t>2015EX03696</t>
  </si>
  <si>
    <t>4027-002-001-0006</t>
  </si>
  <si>
    <t xml:space="preserve">Triplex on Bay Street               </t>
  </si>
  <si>
    <t xml:space="preserve">SUTTON JAMES L ESTATE               </t>
  </si>
  <si>
    <t xml:space="preserve">ISB HOLDINGS LLC                    </t>
  </si>
  <si>
    <t>2015EX03761</t>
  </si>
  <si>
    <t>172501-1-017-2006</t>
  </si>
  <si>
    <t xml:space="preserve">BL at freeway and Clear Crk rd      </t>
  </si>
  <si>
    <t xml:space="preserve">EMKRB LLC                           </t>
  </si>
  <si>
    <t xml:space="preserve">ABC ACRES LLC                       </t>
  </si>
  <si>
    <t>2015EX03766</t>
  </si>
  <si>
    <t>3982-000-002-0004</t>
  </si>
  <si>
    <t xml:space="preserve">Newton Bldg &amp; Development           </t>
  </si>
  <si>
    <t xml:space="preserve">PETERSON JOHN S TRUSTEE             </t>
  </si>
  <si>
    <t xml:space="preserve">NEWTON ROGER &amp; KULLI                </t>
  </si>
  <si>
    <t>2015EX03780</t>
  </si>
  <si>
    <t>8056-002-026-0002</t>
  </si>
  <si>
    <t xml:space="preserve">Winslow Wharf B-26, 36LF            </t>
  </si>
  <si>
    <t xml:space="preserve">HARKINS ARTHUR M &amp; BOHATY KARE      </t>
  </si>
  <si>
    <t xml:space="preserve">WHELAN ROBERT &amp; ROBIN               </t>
  </si>
  <si>
    <t>2015EX03924</t>
  </si>
  <si>
    <t>272502-4-098-2009</t>
  </si>
  <si>
    <t xml:space="preserve">BL (NV SFR) on Winslow way          </t>
  </si>
  <si>
    <t xml:space="preserve">SEYL STEPHEN J &amp; GAYLE ANN          </t>
  </si>
  <si>
    <t xml:space="preserve">MADISON AVENUE DEVELOPMENT INC      </t>
  </si>
  <si>
    <t>2015EX04055</t>
  </si>
  <si>
    <t>8516-000-001-0009</t>
  </si>
  <si>
    <t xml:space="preserve">Unit 1 Office building (west)       </t>
  </si>
  <si>
    <t xml:space="preserve">EMERALD ISLE PROPERTIES LLC         </t>
  </si>
  <si>
    <t>2015EX04097</t>
  </si>
  <si>
    <t>022301-2-103-2008</t>
  </si>
  <si>
    <t xml:space="preserve">Fourplex Sidney Ave                 </t>
  </si>
  <si>
    <t xml:space="preserve">TUTTLE DIANE L                      </t>
  </si>
  <si>
    <t xml:space="preserve">TRAN THAI BA &amp; WU TRAN CINDY KHANH  </t>
  </si>
  <si>
    <t>2015EX04124</t>
  </si>
  <si>
    <t>022301-4-006-2002</t>
  </si>
  <si>
    <t xml:space="preserve">BL-NE Crnr Geiger &amp; Sedgwick        </t>
  </si>
  <si>
    <t xml:space="preserve">2010-1 RADC CADC PROPERTY II L      </t>
  </si>
  <si>
    <t xml:space="preserve">KUSHAL BHUPINDER P                  </t>
  </si>
  <si>
    <t>2015EX04172</t>
  </si>
  <si>
    <t>8070-003-013-0007</t>
  </si>
  <si>
    <t xml:space="preserve">C-13 PYC 36LF                       </t>
  </si>
  <si>
    <t xml:space="preserve">STEFFEN SHARON J                    </t>
  </si>
  <si>
    <t xml:space="preserve">GILLIVER DAVID L                    </t>
  </si>
  <si>
    <t>2015EX04192</t>
  </si>
  <si>
    <t>3774-006-013-0000</t>
  </si>
  <si>
    <t xml:space="preserve">Hales Ales Warehouse/Tasting Rm     </t>
  </si>
  <si>
    <t xml:space="preserve">BR--NCC Niegh. Ctr Core       </t>
  </si>
  <si>
    <t xml:space="preserve">NEIL J PETERSON FAMILY LLC          </t>
  </si>
  <si>
    <t xml:space="preserve">HALES ALE LTD                       </t>
  </si>
  <si>
    <t>2015EX04261</t>
  </si>
  <si>
    <t xml:space="preserve">119- MH - Real Property       </t>
  </si>
  <si>
    <t xml:space="preserve">Manzanita-COM                 </t>
  </si>
  <si>
    <t>092502-1-025-2005</t>
  </si>
  <si>
    <t xml:space="preserve">MH &amp; landscape business             </t>
  </si>
  <si>
    <t xml:space="preserve">BI--R-0.4                     </t>
  </si>
  <si>
    <t xml:space="preserve">PETERSON HOLLY H                    </t>
  </si>
  <si>
    <t xml:space="preserve">CRANE AND CRANE HOLDINGS LLC        </t>
  </si>
  <si>
    <t>2015EX04318</t>
  </si>
  <si>
    <t>012301-4-038-2005</t>
  </si>
  <si>
    <t>LIVING HOPE COMMUNITY BAPTIST CHURCH</t>
  </si>
  <si>
    <t>2015EX04425</t>
  </si>
  <si>
    <t>8056-003-033-0001</t>
  </si>
  <si>
    <t>REVELEY THOMAS L &amp; EVELYN TEIRA TRUS</t>
  </si>
  <si>
    <t>2015EX04443</t>
  </si>
  <si>
    <t>4607-003-001-0002</t>
  </si>
  <si>
    <t xml:space="preserve">HD Fowler                           </t>
  </si>
  <si>
    <t>I - Private easement sale</t>
  </si>
  <si>
    <t xml:space="preserve">HD LEGACY LLC                       </t>
  </si>
  <si>
    <t xml:space="preserve">PUGET SOUND ENERGY INC              </t>
  </si>
  <si>
    <t>2015EX04444</t>
  </si>
  <si>
    <t xml:space="preserve">RUSHFORTH REAL ESTATE INVESTME      </t>
  </si>
  <si>
    <t>2015EX04457</t>
  </si>
  <si>
    <t xml:space="preserve">Gunderson-COM                 </t>
  </si>
  <si>
    <t>192602-1-004-2007</t>
  </si>
  <si>
    <t xml:space="preserve">SFR with oversized garage           </t>
  </si>
  <si>
    <t xml:space="preserve">SHANOIAN PAUL LEE &amp; KARION          </t>
  </si>
  <si>
    <t xml:space="preserve">HARRIS KEVIN                        </t>
  </si>
  <si>
    <t>2015EX04459</t>
  </si>
  <si>
    <t>012301-4-034-1001</t>
  </si>
  <si>
    <t xml:space="preserve">BL off Hwy 3                        </t>
  </si>
  <si>
    <t xml:space="preserve">BR--GI General Industrial     </t>
  </si>
  <si>
    <t xml:space="preserve">ALPINE EVERGREEN CO.,INC            </t>
  </si>
  <si>
    <t xml:space="preserve">CHREY JAMES V                       </t>
  </si>
  <si>
    <t>2015EX04461</t>
  </si>
  <si>
    <t>012301-4-015-1004</t>
  </si>
  <si>
    <t xml:space="preserve">BL Hwy 3                            </t>
  </si>
  <si>
    <t xml:space="preserve">MCCORMICK LAND CO INC               </t>
  </si>
  <si>
    <t xml:space="preserve">ALPINE EVERGREEN CO INC             </t>
  </si>
  <si>
    <t>2015EX04485</t>
  </si>
  <si>
    <t>212501-1-055-2003</t>
  </si>
  <si>
    <t xml:space="preserve">Bucklin Hill RC zoning ConvSFR      </t>
  </si>
  <si>
    <t xml:space="preserve">MAXWELL RICH &amp; KELLIE               </t>
  </si>
  <si>
    <t xml:space="preserve">LOVELY BART K                       </t>
  </si>
  <si>
    <t>2015EX04496</t>
  </si>
  <si>
    <t>082401-4-071-2005</t>
  </si>
  <si>
    <t xml:space="preserve">Maple Leaf Insurance                </t>
  </si>
  <si>
    <t xml:space="preserve">JUNKER STEVEN J &amp; BARBARA M         </t>
  </si>
  <si>
    <t xml:space="preserve">SAFARI PROPERTY MGMT LLC            </t>
  </si>
  <si>
    <t>2015EX04498</t>
  </si>
  <si>
    <t>3784-002-004-0008</t>
  </si>
  <si>
    <t xml:space="preserve">Triplex McKenzie                    </t>
  </si>
  <si>
    <t xml:space="preserve">RAYNE RAVEN                         </t>
  </si>
  <si>
    <t xml:space="preserve">HENKEL TIM                          </t>
  </si>
  <si>
    <t>2015EX04520</t>
  </si>
  <si>
    <t xml:space="preserve">Downtown Port Orchard-COM     </t>
  </si>
  <si>
    <t>4650-002-010-0009</t>
  </si>
  <si>
    <t xml:space="preserve">BL Dwight Street                    </t>
  </si>
  <si>
    <t xml:space="preserve">PO--BPMU--Bus Prof Mix Use    </t>
  </si>
  <si>
    <t xml:space="preserve">GINSLAND LLC                        </t>
  </si>
  <si>
    <t xml:space="preserve">KYLE KAMILA                         </t>
  </si>
  <si>
    <t>2015EX04698</t>
  </si>
  <si>
    <t>212401-2-115-2000</t>
  </si>
  <si>
    <t xml:space="preserve">MH off Broad                        </t>
  </si>
  <si>
    <t xml:space="preserve">DORSEY DAREN A &amp; BROOKS HOLLY       </t>
  </si>
  <si>
    <t xml:space="preserve">BLAUROCK JOSHUA R                   </t>
  </si>
  <si>
    <t>2015EX04752</t>
  </si>
  <si>
    <t>022401-1-036-2001</t>
  </si>
  <si>
    <t xml:space="preserve">Office Bldg on Wheaton Way          </t>
  </si>
  <si>
    <t xml:space="preserve">ROBISON RUSSELL W                   </t>
  </si>
  <si>
    <t xml:space="preserve">BREMERTON EASTSIDE PLAZA LLC        </t>
  </si>
  <si>
    <t>2015EX04761</t>
  </si>
  <si>
    <t>3804-003-008-0206</t>
  </si>
  <si>
    <t xml:space="preserve">4 Units @  1520 Warren Ave          </t>
  </si>
  <si>
    <t xml:space="preserve">BAYVIEW LOAN SERVICING LLC          </t>
  </si>
  <si>
    <t xml:space="preserve">NELSON SCOTT &amp; KATHERINE            </t>
  </si>
  <si>
    <t>2015EX04775</t>
  </si>
  <si>
    <t xml:space="preserve">503- Warehouse condo          </t>
  </si>
  <si>
    <t>8098-000-001-0005</t>
  </si>
  <si>
    <t xml:space="preserve">BO-Mickelberry Ctr- Mini Stg        </t>
  </si>
  <si>
    <t xml:space="preserve">MICKELBERRY CENTER TWO LLC          </t>
  </si>
  <si>
    <t xml:space="preserve">THREE LAKE BELLEVUE PARTNERSHIP     </t>
  </si>
  <si>
    <t>2015EX04830</t>
  </si>
  <si>
    <t>8070-003-015-0005</t>
  </si>
  <si>
    <t xml:space="preserve">PYC 36LF                            </t>
  </si>
  <si>
    <t xml:space="preserve">ELFENDAHL LAWRENCE E &amp; MARY AN      </t>
  </si>
  <si>
    <t xml:space="preserve">TARR GREGORY L &amp; LANA M             </t>
  </si>
  <si>
    <t>2015EX04903</t>
  </si>
  <si>
    <t xml:space="preserve">ORR MICHAEL &amp; CURTISS JACQUELINE    </t>
  </si>
  <si>
    <t>2015EX04985</t>
  </si>
  <si>
    <t>092702-1-035-2001</t>
  </si>
  <si>
    <t xml:space="preserve">BL North of lot 036 on Ecology Rd   </t>
  </si>
  <si>
    <t xml:space="preserve">ECOLOGY ROAD INVESTMENTS LLC        </t>
  </si>
  <si>
    <t xml:space="preserve">CUNDIFF CHAD &amp; CUNDIFF CODIE        </t>
  </si>
  <si>
    <t>2015EX04995</t>
  </si>
  <si>
    <t>092702-1-034-2002</t>
  </si>
  <si>
    <t xml:space="preserve">BL North of lot 035 on Ecology Rd   </t>
  </si>
  <si>
    <t xml:space="preserve">THEMALU LLC                         </t>
  </si>
  <si>
    <t>2015EX05000</t>
  </si>
  <si>
    <t>092702-1-036-2000</t>
  </si>
  <si>
    <t xml:space="preserve">Olympic Organics                    </t>
  </si>
  <si>
    <t xml:space="preserve">THELMALU LLC                        </t>
  </si>
  <si>
    <t>2015EX05117</t>
  </si>
  <si>
    <t xml:space="preserve">691- Churches                 </t>
  </si>
  <si>
    <t xml:space="preserve">SK W. Hwy 16-COM              </t>
  </si>
  <si>
    <t>4505-000-013-0007</t>
  </si>
  <si>
    <t xml:space="preserve">Full Gospel Assembly                </t>
  </si>
  <si>
    <t xml:space="preserve">FULL GOSPEL FELLOWSHIP              </t>
  </si>
  <si>
    <t>2015EX05178</t>
  </si>
  <si>
    <t>3797-017-012-0001</t>
  </si>
  <si>
    <t xml:space="preserve">4 Units @ 1006 Pennslyvania Avenue  </t>
  </si>
  <si>
    <t xml:space="preserve">QUALITY LOAN SERVICE CORP OF W      </t>
  </si>
  <si>
    <t xml:space="preserve">THE BANK OF NEW YORK MELLON TRUSTEE </t>
  </si>
  <si>
    <t>2015EX05277</t>
  </si>
  <si>
    <t>022301-4-055-2002</t>
  </si>
  <si>
    <t xml:space="preserve">BL on Piperberry                    </t>
  </si>
  <si>
    <t xml:space="preserve">PELASCINI DICK                      </t>
  </si>
  <si>
    <t xml:space="preserve">PACIFIC SHORELINE MORTGAGE          </t>
  </si>
  <si>
    <t>2015EX05319</t>
  </si>
  <si>
    <t>022301-4-110-2005</t>
  </si>
  <si>
    <t xml:space="preserve">Bethel Center Bldg C  #1521         </t>
  </si>
  <si>
    <t xml:space="preserve">FIRST-CITIZENS BANK &amp; TRUST CO      </t>
  </si>
  <si>
    <t xml:space="preserve">SCOBEY INVESTMENTS LLC              </t>
  </si>
  <si>
    <t>2015EX05326</t>
  </si>
  <si>
    <t>3733-007-030-0007</t>
  </si>
  <si>
    <t xml:space="preserve">Callow Tobacco Joint                </t>
  </si>
  <si>
    <t xml:space="preserve">TROUBLED ASSET SOLUTIONS LLC        </t>
  </si>
  <si>
    <t xml:space="preserve">SHAW DANIEL                         </t>
  </si>
  <si>
    <t>2015EX05364</t>
  </si>
  <si>
    <t>192501-4-026-2007</t>
  </si>
  <si>
    <t xml:space="preserve">BL W of Silverwood off Dickey Pl    </t>
  </si>
  <si>
    <t xml:space="preserve">MDS LANDHOLDERS LLC                 </t>
  </si>
  <si>
    <t xml:space="preserve">MUTCHLER GREGORY                    </t>
  </si>
  <si>
    <t>2015EX05370</t>
  </si>
  <si>
    <t>292702-1-058-2009</t>
  </si>
  <si>
    <t xml:space="preserve">Zimmer Construction                 </t>
  </si>
  <si>
    <t xml:space="preserve">ZIMMER CARL                         </t>
  </si>
  <si>
    <t xml:space="preserve">LEEWARD INDUSTRIES INC              </t>
  </si>
  <si>
    <t>2015EX05419</t>
  </si>
  <si>
    <t xml:space="preserve">Seabeck WF-COM                </t>
  </si>
  <si>
    <t>172501-3-057-1005</t>
  </si>
  <si>
    <t xml:space="preserve">Triplex on Miami Beach Rd           </t>
  </si>
  <si>
    <t xml:space="preserve">BOSCH SCOTT W &amp; GAIL G TRUSTEE      </t>
  </si>
  <si>
    <t xml:space="preserve">PULUKURTHY SATYAVARDHAN &amp; SUCHITRA  </t>
  </si>
  <si>
    <t>2015EX05444</t>
  </si>
  <si>
    <t>4539-000-001-0001</t>
  </si>
  <si>
    <t xml:space="preserve">Auto Repair, Jimmy D's Diner        </t>
  </si>
  <si>
    <t xml:space="preserve">CO--LIC                       </t>
  </si>
  <si>
    <t xml:space="preserve">BLUE COLLAR INVESTMENTS LLC         </t>
  </si>
  <si>
    <t xml:space="preserve">DRL2 LLC                            </t>
  </si>
  <si>
    <t>2015EX05454</t>
  </si>
  <si>
    <t xml:space="preserve">680- Educational services     </t>
  </si>
  <si>
    <t>172502-1-087-2000</t>
  </si>
  <si>
    <t xml:space="preserve">Montessori Country School           </t>
  </si>
  <si>
    <t xml:space="preserve">BI--R-1                       </t>
  </si>
  <si>
    <t>S - Segregation</t>
  </si>
  <si>
    <t xml:space="preserve">BROWN FRANK B IV TRUSTEE            </t>
  </si>
  <si>
    <t xml:space="preserve">MONTESSORI COUNTRY SCHOOL           </t>
  </si>
  <si>
    <t>2015EX05484</t>
  </si>
  <si>
    <t>082401-3-067-2003</t>
  </si>
  <si>
    <t xml:space="preserve">Dana's Heating and Cooling          </t>
  </si>
  <si>
    <t xml:space="preserve">PIEZE DANA C &amp; DONNA L              </t>
  </si>
  <si>
    <t>2015EX05485</t>
  </si>
  <si>
    <t xml:space="preserve">541- Conv store w/gas pumps   </t>
  </si>
  <si>
    <t>162501-2-014-2008</t>
  </si>
  <si>
    <t xml:space="preserve">CSWG &amp; Retail                       </t>
  </si>
  <si>
    <t xml:space="preserve">CONVENIENCE RETAILERS LLC           </t>
  </si>
  <si>
    <t xml:space="preserve">CF UNITED PROPCO LLC                </t>
  </si>
  <si>
    <t>2015EX05569</t>
  </si>
  <si>
    <t>8056-002-029-0009</t>
  </si>
  <si>
    <t xml:space="preserve">28 LF Winslow Wharf                 </t>
  </si>
  <si>
    <t xml:space="preserve">PELLY CALEB                         </t>
  </si>
  <si>
    <t xml:space="preserve">SKALAK THOMAS &amp; SUSAN               </t>
  </si>
  <si>
    <t>2015EX05609</t>
  </si>
  <si>
    <t>3717-007-017-0004</t>
  </si>
  <si>
    <t xml:space="preserve">4-Plex @ Naval &amp; Burwell            </t>
  </si>
  <si>
    <t xml:space="preserve">MACK STANLEY J &amp; JANE A             </t>
  </si>
  <si>
    <t>BERNTSEN SPENCER G &amp; MARIA E &amp; SIDDA</t>
  </si>
  <si>
    <t>2015EX05642</t>
  </si>
  <si>
    <t xml:space="preserve">150- MH community             </t>
  </si>
  <si>
    <t xml:space="preserve">Central Kitsap East           </t>
  </si>
  <si>
    <t>252501-4-032-2001</t>
  </si>
  <si>
    <t xml:space="preserve">Kariotis MHP                        </t>
  </si>
  <si>
    <t xml:space="preserve">CO--UH                        </t>
  </si>
  <si>
    <t xml:space="preserve">KARIOTIS LLC                        </t>
  </si>
  <si>
    <t xml:space="preserve">KITSAP COUNTY PUBLIC WORKS          </t>
  </si>
  <si>
    <t>2015EX05643</t>
  </si>
  <si>
    <t>292702-1-031-2001</t>
  </si>
  <si>
    <t xml:space="preserve">Warehouse Office                    </t>
  </si>
  <si>
    <t xml:space="preserve">KENNEDY D MICHAEL &amp; PATRICIA L      </t>
  </si>
  <si>
    <t xml:space="preserve">WICKSTROM VANCE K &amp; KATIE M         </t>
  </si>
  <si>
    <t>2015EX05644</t>
  </si>
  <si>
    <t>3718-009-001-0106</t>
  </si>
  <si>
    <t xml:space="preserve">Retail w/apt 1st Ave &amp; Pacific Ave  </t>
  </si>
  <si>
    <t>P - New building</t>
  </si>
  <si>
    <t xml:space="preserve">NGUYEN CHUNG &amp; TRUONG OANH          </t>
  </si>
  <si>
    <t>2015EX05686</t>
  </si>
  <si>
    <t>012301-3-128-2008</t>
  </si>
  <si>
    <t xml:space="preserve">Les Schwaub Port Orchard            </t>
  </si>
  <si>
    <t xml:space="preserve">PBH GROUP LLC                       </t>
  </si>
  <si>
    <t xml:space="preserve">SFP-B LIMITED PARTNERSHIP           </t>
  </si>
  <si>
    <t>2015EX05725</t>
  </si>
  <si>
    <t>7000-000-005-0000</t>
  </si>
  <si>
    <t xml:space="preserve">BL- Lot E SW corner of site         </t>
  </si>
  <si>
    <t xml:space="preserve">VICI DEVELOPMENT LLC                </t>
  </si>
  <si>
    <t xml:space="preserve">GRUNDSUND PROPERTY CO               </t>
  </si>
  <si>
    <t>2015EX05726</t>
  </si>
  <si>
    <t>7000-000-004-0001</t>
  </si>
  <si>
    <t xml:space="preserve">Jackson Brothers - Bldg 56-Grudens  </t>
  </si>
  <si>
    <t xml:space="preserve">JACKSON BROTHERS LLC                </t>
  </si>
  <si>
    <t>2015EX05731</t>
  </si>
  <si>
    <t>152401-2-103-2002</t>
  </si>
  <si>
    <t xml:space="preserve">Islamic Center of Kitsap County     </t>
  </si>
  <si>
    <t xml:space="preserve">KITSAP BANK                         </t>
  </si>
  <si>
    <t xml:space="preserve">THE ISLAMIC CENTER OF KITSAP COUNTY </t>
  </si>
  <si>
    <t>2015EX05785</t>
  </si>
  <si>
    <t>3718-005-031-0009</t>
  </si>
  <si>
    <t xml:space="preserve">SFR adjacent to Norm Dicks Bld      </t>
  </si>
  <si>
    <t>B - Bankruptcy</t>
  </si>
  <si>
    <t xml:space="preserve">ELLIOTT BAY ASSET SOLUTIONS LL      </t>
  </si>
  <si>
    <t xml:space="preserve">TAX DEFERRED EXCHANGE SERVICES INC  </t>
  </si>
  <si>
    <t>2015EX05938</t>
  </si>
  <si>
    <t>3733-007-025-0004</t>
  </si>
  <si>
    <t xml:space="preserve">310 N Callow Retail Storefront      </t>
  </si>
  <si>
    <t xml:space="preserve">HILLS CALLOW MONTGOMERY LLC         </t>
  </si>
  <si>
    <t xml:space="preserve">JAMES D BURNS PENSION PLAN          </t>
  </si>
  <si>
    <t>2015EX05947</t>
  </si>
  <si>
    <t>052401-3-092-2005</t>
  </si>
  <si>
    <t xml:space="preserve">BRABOY BRADLEY D &amp; MISTY R          </t>
  </si>
  <si>
    <t xml:space="preserve">SAUER NICOLAS K                     </t>
  </si>
  <si>
    <t>2015EX06018</t>
  </si>
  <si>
    <t>5053-000-003-0002</t>
  </si>
  <si>
    <t xml:space="preserve">Skippers of Silverdale              </t>
  </si>
  <si>
    <t xml:space="preserve">BARBER INVESTMENTS SILVERDALE       </t>
  </si>
  <si>
    <t xml:space="preserve">SIMON RESTAURANTS LLC               </t>
  </si>
  <si>
    <t>2015EX06058</t>
  </si>
  <si>
    <t>322401-1-092-2006</t>
  </si>
  <si>
    <t xml:space="preserve">BL Corner Sherman Height and Hwy 16 </t>
  </si>
  <si>
    <t xml:space="preserve">PACIFIC GUARDIANSHIP SERVICES       </t>
  </si>
  <si>
    <t xml:space="preserve">CAPPS DEAN                          </t>
  </si>
  <si>
    <t>2015EX06061</t>
  </si>
  <si>
    <t xml:space="preserve">Old Silverdale                </t>
  </si>
  <si>
    <t>202501-1-017-2001</t>
  </si>
  <si>
    <t xml:space="preserve">SFR Corner Silverdale Way/Munson    </t>
  </si>
  <si>
    <t xml:space="preserve">SILVERDALE HOLDINGS LLC             </t>
  </si>
  <si>
    <t xml:space="preserve">FOOTPRINT PROPERTIES LLC            </t>
  </si>
  <si>
    <t>2015EX06122</t>
  </si>
  <si>
    <t>3823-000-002-0007</t>
  </si>
  <si>
    <t xml:space="preserve">Johnstone Supply, EMS Inc.          </t>
  </si>
  <si>
    <t xml:space="preserve">SEATTLE REALTY INC                  </t>
  </si>
  <si>
    <t xml:space="preserve">WILKES BUILDING LLC                 </t>
  </si>
  <si>
    <t>2015EX06134</t>
  </si>
  <si>
    <t>152501-3-034-1005</t>
  </si>
  <si>
    <t xml:space="preserve">Lone Rock Retail                    </t>
  </si>
  <si>
    <t xml:space="preserve">APIRO HOLDINGS LLC                  </t>
  </si>
  <si>
    <t>2015EX06242</t>
  </si>
  <si>
    <t>312402-1-055-2001</t>
  </si>
  <si>
    <t xml:space="preserve">Rb's Fish &amp; Chips - Mill Hill Dr.   </t>
  </si>
  <si>
    <t xml:space="preserve">MARUEL LLC                          </t>
  </si>
  <si>
    <t xml:space="preserve">SUNG JONGSOO &amp; SUJIN                </t>
  </si>
  <si>
    <t>2015EX06260</t>
  </si>
  <si>
    <t>252401-2-039-2009</t>
  </si>
  <si>
    <t xml:space="preserve">BP, Car Wash &amp; C&amp;S Auto Service     </t>
  </si>
  <si>
    <t xml:space="preserve">GTY PACIFIC LEASING LLC             </t>
  </si>
  <si>
    <t>2015EX06262</t>
  </si>
  <si>
    <t>172501-3-042-2001</t>
  </si>
  <si>
    <t xml:space="preserve">CSWG Old Frontier Rd                </t>
  </si>
  <si>
    <t>2015EX06451</t>
  </si>
  <si>
    <t>8103-000-023-0002</t>
  </si>
  <si>
    <t xml:space="preserve">SCHULTZ FAMILY TRUST                </t>
  </si>
  <si>
    <t xml:space="preserve">CASE ROBERT M &amp; TERESA A            </t>
  </si>
  <si>
    <t>2015EX06476</t>
  </si>
  <si>
    <t>3783-002-009-0004</t>
  </si>
  <si>
    <t xml:space="preserve">Adele &amp; Kitsap Way- Clinic          </t>
  </si>
  <si>
    <t xml:space="preserve">CIT OF BREMERTON                    </t>
  </si>
  <si>
    <t xml:space="preserve">MAHAY LLC                           </t>
  </si>
  <si>
    <t>2015EX06586</t>
  </si>
  <si>
    <t>8070-005-026-0007</t>
  </si>
  <si>
    <t xml:space="preserve">PYC 70LF                            </t>
  </si>
  <si>
    <t xml:space="preserve">CRISSMAN ROBERT F &amp; KAREN J         </t>
  </si>
  <si>
    <t xml:space="preserve">AVE DE PASO LLC                     </t>
  </si>
  <si>
    <t>2015EX06725</t>
  </si>
  <si>
    <t xml:space="preserve">Manette Uplands-COM           </t>
  </si>
  <si>
    <t>132401-1-049-2003</t>
  </si>
  <si>
    <t xml:space="preserve">4-Plex @ 2131 E 19th St             </t>
  </si>
  <si>
    <t xml:space="preserve">PRICE J MICHAEL &amp; BECKY L           </t>
  </si>
  <si>
    <t xml:space="preserve">SNYDER STEVEN CLARK                 </t>
  </si>
  <si>
    <t>2015EX06758</t>
  </si>
  <si>
    <t>022301-4-029-2005</t>
  </si>
  <si>
    <t xml:space="preserve">BL-Blueberry                        </t>
  </si>
  <si>
    <t xml:space="preserve">DAVIS STEVEN H                      </t>
  </si>
  <si>
    <t>FINELINE PARTNERS LLC &amp; OSTERHOUT FA</t>
  </si>
  <si>
    <t>2015EX06782</t>
  </si>
  <si>
    <t xml:space="preserve">US BANK NATIONAL ASSOCIATION T      </t>
  </si>
  <si>
    <t xml:space="preserve">PITTMAN JONATHAN                    </t>
  </si>
  <si>
    <t>2015EX06859</t>
  </si>
  <si>
    <t>292702-3-088-2009</t>
  </si>
  <si>
    <t xml:space="preserve">Building G                          </t>
  </si>
  <si>
    <t xml:space="preserve">KITSAP CREDIT UNION                 </t>
  </si>
  <si>
    <t xml:space="preserve">8880 INVESTMENTS LLC                </t>
  </si>
  <si>
    <t>2015EX06874</t>
  </si>
  <si>
    <t xml:space="preserve">Ridgetop                      </t>
  </si>
  <si>
    <t>152501-2-036-2003</t>
  </si>
  <si>
    <t xml:space="preserve">Ridgetop Apartment Homes            </t>
  </si>
  <si>
    <t xml:space="preserve">GFS RIDGETOP LLC                    </t>
  </si>
  <si>
    <t xml:space="preserve">GEMINI RIDGETOP FEE OWNER LLC       </t>
  </si>
  <si>
    <t>2015EX06875</t>
  </si>
  <si>
    <t>172501-4-091-2009</t>
  </si>
  <si>
    <t xml:space="preserve">Wellington Apartments Phase I &amp; II  </t>
  </si>
  <si>
    <t xml:space="preserve">GFS WELLINGTON LLC                  </t>
  </si>
  <si>
    <t xml:space="preserve">GEMINI WELLINGTON FEE OWNER LLC     </t>
  </si>
  <si>
    <t>2015EX07414</t>
  </si>
  <si>
    <t>3918-002-017-0002</t>
  </si>
  <si>
    <t xml:space="preserve">SFR Pitt Ave                        </t>
  </si>
  <si>
    <t xml:space="preserve">BR--NB Neighborhood Business  </t>
  </si>
  <si>
    <t xml:space="preserve">R G J &amp; A PITT LLC                  </t>
  </si>
  <si>
    <t xml:space="preserve">DAY JON E &amp; LOANNA R TRUSTEES       </t>
  </si>
  <si>
    <t>2015EX07473</t>
  </si>
  <si>
    <t>162501-3-027-2001</t>
  </si>
  <si>
    <t xml:space="preserve">Town Ctr Shopping Center Silverdale </t>
  </si>
  <si>
    <t xml:space="preserve">PANERA LLC                          </t>
  </si>
  <si>
    <t xml:space="preserve">PAN WASHINGTON LLC                  </t>
  </si>
  <si>
    <t>2015EX07519</t>
  </si>
  <si>
    <t>West Bremerton Unincorpora-COM</t>
  </si>
  <si>
    <t>282401-1-057-2005</t>
  </si>
  <si>
    <t xml:space="preserve">5 Bldgs off Sherman Heights &amp; Hwy 3 </t>
  </si>
  <si>
    <t xml:space="preserve">ELLIOTT BAY ASSET SOLUTIONS RE      </t>
  </si>
  <si>
    <t>WHEAT PATRICK &amp; DONNA &amp; HARWOOD THEO</t>
  </si>
  <si>
    <t>2015EX07680</t>
  </si>
  <si>
    <t>3797-021-008-0009</t>
  </si>
  <si>
    <t xml:space="preserve">Church of Christ                    </t>
  </si>
  <si>
    <t>X - Exempt property</t>
  </si>
  <si>
    <t xml:space="preserve">IGLESIA NI CRISTO                   </t>
  </si>
  <si>
    <t xml:space="preserve">WEST SOUND YOUTH FOR CHRIST         </t>
  </si>
  <si>
    <t>2015EX07756</t>
  </si>
  <si>
    <t>132401-3-145-2002</t>
  </si>
  <si>
    <t xml:space="preserve">2 retail shops w/SFR &amp; det gar      </t>
  </si>
  <si>
    <t xml:space="preserve">LARSON WESLEY A                     </t>
  </si>
  <si>
    <t xml:space="preserve">WOLHAUPTER JUDITH                   </t>
  </si>
  <si>
    <t>2015EX07903</t>
  </si>
  <si>
    <t>152601-4-031-2003</t>
  </si>
  <si>
    <t xml:space="preserve">Poulsbo Perk Espresso - Poulsbo     </t>
  </si>
  <si>
    <t xml:space="preserve">BOYLE ENTERPRISES LLC               </t>
  </si>
  <si>
    <t xml:space="preserve">FREDERICKSEN PROPERTIES LLC         </t>
  </si>
  <si>
    <t>2015EX07997</t>
  </si>
  <si>
    <t>222301-2-002-1008</t>
  </si>
  <si>
    <t xml:space="preserve">SFR- corner Hwy 3 and Lake Flora    </t>
  </si>
  <si>
    <t xml:space="preserve">WEEGMAN AARON D                     </t>
  </si>
  <si>
    <t>2015EX08068</t>
  </si>
  <si>
    <t xml:space="preserve">THE BANK OF NEW YORK MELLON TR      </t>
  </si>
  <si>
    <t xml:space="preserve">SINGER TIMOTHY A &amp; GINA L           </t>
  </si>
  <si>
    <t>2015EX08094</t>
  </si>
  <si>
    <t>362401-2-096-2006</t>
  </si>
  <si>
    <t xml:space="preserve">7-11 Building                       </t>
  </si>
  <si>
    <t xml:space="preserve">KARKA LLC                           </t>
  </si>
  <si>
    <t xml:space="preserve">DUOMO MERCER ISLAND PROPERTIES      </t>
  </si>
  <si>
    <t>2015EX08137</t>
  </si>
  <si>
    <t>162501-3-140-2003</t>
  </si>
  <si>
    <t xml:space="preserve">Ridgetop Veterans Plaza             </t>
  </si>
  <si>
    <t xml:space="preserve">P &amp; L 9165 LLC                      </t>
  </si>
  <si>
    <t>2015EX08162</t>
  </si>
  <si>
    <t>172501-4-052-2006</t>
  </si>
  <si>
    <t xml:space="preserve">LO-New Life Church land exempt ptn  </t>
  </si>
  <si>
    <t xml:space="preserve">EASTGATE THEATRE INC                </t>
  </si>
  <si>
    <t xml:space="preserve">NEW LIFE CHURCH ON THE PENINSULA    </t>
  </si>
  <si>
    <t>2015EX08163</t>
  </si>
  <si>
    <t>172501-4-067-2009</t>
  </si>
  <si>
    <t xml:space="preserve">BL Randall Way                      </t>
  </si>
  <si>
    <t xml:space="preserve">JWJ GROUP LLC                       </t>
  </si>
  <si>
    <t>2015EX08167</t>
  </si>
  <si>
    <t xml:space="preserve">TAX DEFERRED EXCHANGE SERVICES      </t>
  </si>
  <si>
    <t xml:space="preserve">CLAYPOOL BEMAN BEVERLY              </t>
  </si>
  <si>
    <t>2015EX08173</t>
  </si>
  <si>
    <t>3774-012-012-0009</t>
  </si>
  <si>
    <t xml:space="preserve">SFR on Wycoff                       </t>
  </si>
  <si>
    <t xml:space="preserve">HORTON FRANK &amp; LYNN                 </t>
  </si>
  <si>
    <t xml:space="preserve">ADRIAN JUSTIN &amp; HILLARY             </t>
  </si>
  <si>
    <t>2015EX08175</t>
  </si>
  <si>
    <t>262501-4-089-2002</t>
  </si>
  <si>
    <t xml:space="preserve">SFR on McWilliams                   </t>
  </si>
  <si>
    <t xml:space="preserve">FEDERAL NATIONAL MORTGAGE ASSOC     </t>
  </si>
  <si>
    <t>2015EX08192</t>
  </si>
  <si>
    <t>222702-3-042-2001</t>
  </si>
  <si>
    <t xml:space="preserve">Warehouse                           </t>
  </si>
  <si>
    <t xml:space="preserve">KINGSTON HOLDINGS LLC               </t>
  </si>
  <si>
    <t xml:space="preserve">L&amp;D PROPERTIES LLC                  </t>
  </si>
  <si>
    <t>2015EX08306</t>
  </si>
  <si>
    <t>222401-2-010-2005</t>
  </si>
  <si>
    <t xml:space="preserve">SFR on S. National Ave              </t>
  </si>
  <si>
    <t xml:space="preserve">MOSTOFI BEHZAD &amp; PAMELA J           </t>
  </si>
  <si>
    <t>2015EX08314</t>
  </si>
  <si>
    <t>132301-2-007-2002</t>
  </si>
  <si>
    <t xml:space="preserve">Tiny home 6513  Bethel              </t>
  </si>
  <si>
    <t xml:space="preserve">INTERIM HOLDINGS LLC                </t>
  </si>
  <si>
    <t xml:space="preserve">EMANS FRERIC W TRUSTEE              </t>
  </si>
  <si>
    <t>2015EX08324</t>
  </si>
  <si>
    <t>8207-003-004-0004</t>
  </si>
  <si>
    <t xml:space="preserve">Bldg C Unit 4                       </t>
  </si>
  <si>
    <t xml:space="preserve">ISLANDCRAFT2.0 LLC                  </t>
  </si>
  <si>
    <t xml:space="preserve">LEVI CLAUDIA &amp; SCHOONMAKER ROBERT   </t>
  </si>
  <si>
    <t>2015EX08370</t>
  </si>
  <si>
    <t xml:space="preserve">750- Resorts/group camps      </t>
  </si>
  <si>
    <t>202501-4-006-1000</t>
  </si>
  <si>
    <t xml:space="preserve">Seabeck Christian Conf Center       </t>
  </si>
  <si>
    <t xml:space="preserve">SEABECK CHRISTIAN CONFERENCE        </t>
  </si>
  <si>
    <t>2015EX08376</t>
  </si>
  <si>
    <t>3972-000-016-0109</t>
  </si>
  <si>
    <t xml:space="preserve">Auto repair &amp; retail                </t>
  </si>
  <si>
    <t xml:space="preserve">TEMPLETON RONALD C TRUSTEE          </t>
  </si>
  <si>
    <t xml:space="preserve">YU BYUNG &amp; VERISTONE FUND I LLC     </t>
  </si>
  <si>
    <t>2015EX08500</t>
  </si>
  <si>
    <t>012401-4-044-2006</t>
  </si>
  <si>
    <t xml:space="preserve">Perry Plat                          </t>
  </si>
  <si>
    <t xml:space="preserve">ERLANDSEN JANE E                    </t>
  </si>
  <si>
    <t xml:space="preserve">INTERNATIONAL EQUIPMENT INC ET AL   </t>
  </si>
  <si>
    <t>2015EX08565</t>
  </si>
  <si>
    <t xml:space="preserve">Downtown Poulsbo              </t>
  </si>
  <si>
    <t>4230-002-001-0108</t>
  </si>
  <si>
    <t xml:space="preserve">Retail w/apartment above            </t>
  </si>
  <si>
    <t xml:space="preserve">PL--DC                        </t>
  </si>
  <si>
    <t xml:space="preserve">EBKE HANS W &amp; PATRICIA G            </t>
  </si>
  <si>
    <t xml:space="preserve">NUCON NORTHWEST LLC                 </t>
  </si>
  <si>
    <t>2015EX08577</t>
  </si>
  <si>
    <t>8207-001-005-0007</t>
  </si>
  <si>
    <t xml:space="preserve">Bldg A Unit 5                       </t>
  </si>
  <si>
    <t xml:space="preserve">ADLER DAVID &amp; CARROLL KRISTINE      </t>
  </si>
  <si>
    <t>2015EX08581</t>
  </si>
  <si>
    <t>092702-1-032-2004</t>
  </si>
  <si>
    <t xml:space="preserve">Northern Asphalt                    </t>
  </si>
  <si>
    <t xml:space="preserve">ADVANCED LAND &amp; BUSINESS LLC        </t>
  </si>
  <si>
    <t xml:space="preserve">MEEKER PROPERTIES LLC               </t>
  </si>
  <si>
    <t>2015EX08620</t>
  </si>
  <si>
    <t>4027-017-006-0009</t>
  </si>
  <si>
    <t xml:space="preserve">SFR and Triplex (former SFR)        </t>
  </si>
  <si>
    <t xml:space="preserve">SINIGAGLIO MICHAEL &amp; BENNETT M      </t>
  </si>
  <si>
    <t xml:space="preserve">LAMINAR REAL ESTATE                 </t>
  </si>
  <si>
    <t>2015EX08675</t>
  </si>
  <si>
    <t>172501-2-001-2002</t>
  </si>
  <si>
    <t xml:space="preserve">BL on Old Frontier                  </t>
  </si>
  <si>
    <t xml:space="preserve">ACE PAVING CO INC                   </t>
  </si>
  <si>
    <t xml:space="preserve">HAN KIMBERLY                        </t>
  </si>
  <si>
    <t>2015EX08713</t>
  </si>
  <si>
    <t xml:space="preserve">Winslow-COM                   </t>
  </si>
  <si>
    <t>272502-1-028-2000</t>
  </si>
  <si>
    <t xml:space="preserve">First Years Childrens Center        </t>
  </si>
  <si>
    <t xml:space="preserve">BI--R-3.5                     </t>
  </si>
  <si>
    <t xml:space="preserve">AMERAE ENTERPRISES INC              </t>
  </si>
  <si>
    <t xml:space="preserve">MOSAIC PROPERTIES LLC               </t>
  </si>
  <si>
    <t>2015EX08848</t>
  </si>
  <si>
    <t>3806-005-001-0008</t>
  </si>
  <si>
    <t xml:space="preserve">Land Corner of Burwell and Callow   </t>
  </si>
  <si>
    <t xml:space="preserve">MARSH TERRY &amp; TRACIE                </t>
  </si>
  <si>
    <t xml:space="preserve">PROVENIO EQUITY GROUP I LLC         </t>
  </si>
  <si>
    <t>2015EX08870</t>
  </si>
  <si>
    <t>4458-006-010-0004</t>
  </si>
  <si>
    <t xml:space="preserve">St Innocent                         </t>
  </si>
  <si>
    <t>1 - Family</t>
  </si>
  <si>
    <t xml:space="preserve">CARLSON COLLEEN JO                  </t>
  </si>
  <si>
    <t xml:space="preserve">ET OLD TOWN PROPERTIES LLC          </t>
  </si>
  <si>
    <t>2015EX08913</t>
  </si>
  <si>
    <t>312402-2-016-2007</t>
  </si>
  <si>
    <t xml:space="preserve">BL Payseno off Mile Hill            </t>
  </si>
  <si>
    <t xml:space="preserve">PADGETT VERNIE L                    </t>
  </si>
  <si>
    <t>2015EX08929</t>
  </si>
  <si>
    <t>8197-000-101-0004</t>
  </si>
  <si>
    <t xml:space="preserve">Commercial Condo                    </t>
  </si>
  <si>
    <t xml:space="preserve">PELCO LLC                           </t>
  </si>
  <si>
    <t xml:space="preserve">HEINZELMAN KEITH &amp; JENNIFER         </t>
  </si>
  <si>
    <t>2015EX09058</t>
  </si>
  <si>
    <t>342601-1-089-2007</t>
  </si>
  <si>
    <t xml:space="preserve">SFR on Silv way N of Luoto          </t>
  </si>
  <si>
    <t xml:space="preserve">HUBBELL HERCULES &amp; LAURA            </t>
  </si>
  <si>
    <t>2015EX09110</t>
  </si>
  <si>
    <t xml:space="preserve">College Marketplace           </t>
  </si>
  <si>
    <t>102601-3-057-2009</t>
  </si>
  <si>
    <t xml:space="preserve">Unit A &amp; B Prof Offices             </t>
  </si>
  <si>
    <t xml:space="preserve">PL--OCI                       </t>
  </si>
  <si>
    <t xml:space="preserve">NATHANS GLEN THREE LLC              </t>
  </si>
  <si>
    <t xml:space="preserve">MISSION HOUSE NORTH KITSAP          </t>
  </si>
  <si>
    <t>2015EX09137</t>
  </si>
  <si>
    <t>312402-2-003-2002</t>
  </si>
  <si>
    <t xml:space="preserve">SFR (NV) Mile Hill &amp; Payseno Ln     </t>
  </si>
  <si>
    <t xml:space="preserve">CLEAR RECON CORP                    </t>
  </si>
  <si>
    <t>PADGETT VERN L &amp; EASDTSIDE FUNDING L</t>
  </si>
  <si>
    <t>2015EX09233</t>
  </si>
  <si>
    <t xml:space="preserve">Rural Coml South Kitsap       </t>
  </si>
  <si>
    <t>332402-2-044-2001</t>
  </si>
  <si>
    <t xml:space="preserve">Arrowwood Mini Storage              </t>
  </si>
  <si>
    <t xml:space="preserve">ARROWWOOD STORAGE LLC               </t>
  </si>
  <si>
    <t xml:space="preserve">ORCHARD ARROWWOOD LLC               </t>
  </si>
  <si>
    <t>2015EX09337</t>
  </si>
  <si>
    <t>012301-2-127-2001</t>
  </si>
  <si>
    <t xml:space="preserve">Triplex Moritz Way                  </t>
  </si>
  <si>
    <t xml:space="preserve">LITTLEFIELD ROBERT T &amp; JODI A       </t>
  </si>
  <si>
    <t xml:space="preserve">CORN JUNE A TRUSTEE                 </t>
  </si>
  <si>
    <t>2015EX09359</t>
  </si>
  <si>
    <t>3787-000-013-1709</t>
  </si>
  <si>
    <t xml:space="preserve">Westbay Napa Auto Parts             </t>
  </si>
  <si>
    <t xml:space="preserve">PARKER GARY D TRUSTEE               </t>
  </si>
  <si>
    <t xml:space="preserve">CGLJ LLC                            </t>
  </si>
  <si>
    <t>2015EX09363</t>
  </si>
  <si>
    <t>132401-3-024-2008</t>
  </si>
  <si>
    <t xml:space="preserve">Wolfe Law Office                    </t>
  </si>
  <si>
    <t xml:space="preserve">3MW LLC                             </t>
  </si>
  <si>
    <t xml:space="preserve">CALNAN JEFFREY T                    </t>
  </si>
  <si>
    <t>2015EX09408</t>
  </si>
  <si>
    <t xml:space="preserve">592- Community center         </t>
  </si>
  <si>
    <t>352501-4-071-2001</t>
  </si>
  <si>
    <t xml:space="preserve">Redwood Plaza                       </t>
  </si>
  <si>
    <t xml:space="preserve">QRP REDWOOD LLC                     </t>
  </si>
  <si>
    <t xml:space="preserve">FMK PROPERTIES REDWOOD LLC          </t>
  </si>
  <si>
    <t>2015EX09409</t>
  </si>
  <si>
    <t xml:space="preserve">740- Recreational             </t>
  </si>
  <si>
    <t>3718-006-006-0008</t>
  </si>
  <si>
    <t xml:space="preserve">Roxy Theater                        </t>
  </si>
  <si>
    <t xml:space="preserve">FAIRWAY FUND V LLC                  </t>
  </si>
  <si>
    <t xml:space="preserve">LARSON WESLEY A &amp; BROWN MICHAEL F   </t>
  </si>
  <si>
    <t>2016EX00140</t>
  </si>
  <si>
    <t>3807-003-017-0004</t>
  </si>
  <si>
    <t xml:space="preserve">Naval Ave Apartments                </t>
  </si>
  <si>
    <t xml:space="preserve">BAKER STEVEN ROY &amp; FAY YVONNE       </t>
  </si>
  <si>
    <t xml:space="preserve">MIRAGE HOLDINGS LLC                 </t>
  </si>
  <si>
    <t>2016EX00179</t>
  </si>
  <si>
    <t>202501-1-038-2006</t>
  </si>
  <si>
    <t xml:space="preserve">Wft- Knit 2 gether on Bayshore      </t>
  </si>
  <si>
    <t xml:space="preserve">NGUYEN CHUNG VAN &amp; TROUNG OANH      </t>
  </si>
  <si>
    <t xml:space="preserve">JS KEATING LLC                      </t>
  </si>
  <si>
    <t>2016EX00220</t>
  </si>
  <si>
    <t>5053-000-002-0003</t>
  </si>
  <si>
    <t xml:space="preserve">Jack in the Box- Silverdale         </t>
  </si>
  <si>
    <t xml:space="preserve">RUFFIN TECH CENTER LTD              </t>
  </si>
  <si>
    <t xml:space="preserve">NIKI HOLDINGS LP                    </t>
  </si>
  <si>
    <t>2016EX00224</t>
  </si>
  <si>
    <t>8164-014-004-0002</t>
  </si>
  <si>
    <t xml:space="preserve">T-Hangar B14-4 (Bld Only)           </t>
  </si>
  <si>
    <t xml:space="preserve">FASANO MICHAEL R &amp; DEBBIE D         </t>
  </si>
  <si>
    <t xml:space="preserve">WILLIAMS GREGORY B &amp; PATRICIA D     </t>
  </si>
  <si>
    <t>2016EX00266</t>
  </si>
  <si>
    <t>262502-3-056-2002</t>
  </si>
  <si>
    <t xml:space="preserve">Sotheby's &amp; Restaurant              </t>
  </si>
  <si>
    <t xml:space="preserve">STORYVILLE BAINBRIDGE WINSLOW       </t>
  </si>
  <si>
    <t xml:space="preserve">THE OLD HARDWARE STORE LLC          </t>
  </si>
  <si>
    <t>2016EX00354</t>
  </si>
  <si>
    <t>3804-001-001-0405</t>
  </si>
  <si>
    <t xml:space="preserve">800 11th Jet Heating and Plumbing   </t>
  </si>
  <si>
    <t xml:space="preserve">BR--R20                       </t>
  </si>
  <si>
    <t xml:space="preserve">JASONN PROPERTIES LLC               </t>
  </si>
  <si>
    <t xml:space="preserve">GRIFFIN SHANNON T &amp; JENNIFER L      </t>
  </si>
  <si>
    <t>2016EX00428</t>
  </si>
  <si>
    <t xml:space="preserve">LAMINAR REAL ESTATE LLC             </t>
  </si>
  <si>
    <t xml:space="preserve">ZITA KAY LLC                        </t>
  </si>
  <si>
    <t>2016EX00484</t>
  </si>
  <si>
    <t>102501-3-041-2009</t>
  </si>
  <si>
    <t xml:space="preserve">Santa Fe Ridge Apts                 </t>
  </si>
  <si>
    <t xml:space="preserve">SK SANTA FE RIDGE LLC ET AL         </t>
  </si>
  <si>
    <t xml:space="preserve">SANTA FE RIDGE APARTMENTS LLC       </t>
  </si>
  <si>
    <t>2016EX00511</t>
  </si>
  <si>
    <t>262502-2-049-2004</t>
  </si>
  <si>
    <t xml:space="preserve">710 Ericksen Avenue bldg            </t>
  </si>
  <si>
    <t xml:space="preserve">RASH LLC                            </t>
  </si>
  <si>
    <t xml:space="preserve">KARDONG EDWARD &amp; ELAINE             </t>
  </si>
  <si>
    <t>2016EX00512</t>
  </si>
  <si>
    <t xml:space="preserve">MACFARLANE DUNCAN &amp; GISELLE L       </t>
  </si>
  <si>
    <t>2016EX00553</t>
  </si>
  <si>
    <t>4650-006-006-0006</t>
  </si>
  <si>
    <t xml:space="preserve">SFR Downtown Pt Orchard             </t>
  </si>
  <si>
    <t xml:space="preserve">MCGILLIARD JOHN H &amp; CRAWFORD W      </t>
  </si>
  <si>
    <t xml:space="preserve">COTTAGE COVE LLC                    </t>
  </si>
  <si>
    <t>2016EX00648</t>
  </si>
  <si>
    <t>8182-000-003-0000</t>
  </si>
  <si>
    <t xml:space="preserve">Pottery Avenue Prof Bldg Unit 3     </t>
  </si>
  <si>
    <t xml:space="preserve">BERG PAUL &amp; MARCIA                  </t>
  </si>
  <si>
    <t xml:space="preserve">ADEPT LEGAL EDUCATION SERVICES LLC  </t>
  </si>
  <si>
    <t>2016EX00666</t>
  </si>
  <si>
    <t>132401-3-211-2001</t>
  </si>
  <si>
    <t xml:space="preserve">936 Highland Apartments             </t>
  </si>
  <si>
    <t xml:space="preserve">WENWARD PROPERTIES LLC              </t>
  </si>
  <si>
    <t xml:space="preserve">NELSON SCOTT L &amp; KATHERINE A        </t>
  </si>
  <si>
    <t>2016EX00799</t>
  </si>
  <si>
    <t>162401-1-070-2002</t>
  </si>
  <si>
    <t xml:space="preserve">2 Duplexes @ Shorewood &amp; Madrona    </t>
  </si>
  <si>
    <t xml:space="preserve">HERMAN ROBERT A &amp;                   </t>
  </si>
  <si>
    <t xml:space="preserve">NEAGLE LAMAR J &amp; NATALIE A          </t>
  </si>
  <si>
    <t>2016EX00803</t>
  </si>
  <si>
    <t xml:space="preserve">582- Tavern                   </t>
  </si>
  <si>
    <t>4650-014-005-0001</t>
  </si>
  <si>
    <t xml:space="preserve">Nauti Mermaid Bar                   </t>
  </si>
  <si>
    <t xml:space="preserve">FRED NEEDHAM POST 2669              </t>
  </si>
  <si>
    <t xml:space="preserve">LIBELLULES LLC                      </t>
  </si>
  <si>
    <t>2016EX00816</t>
  </si>
  <si>
    <t>062602-2-049-2007</t>
  </si>
  <si>
    <t xml:space="preserve">BL Triangle off Bond Rd             </t>
  </si>
  <si>
    <t xml:space="preserve">INGALLS JAMES &amp; PATRICIA            </t>
  </si>
  <si>
    <t xml:space="preserve">TODD LARRY R &amp; KAREN N              </t>
  </si>
  <si>
    <t>2016EX00870</t>
  </si>
  <si>
    <t>3717-005-001-0006</t>
  </si>
  <si>
    <t xml:space="preserve">Old store and apartments            </t>
  </si>
  <si>
    <t xml:space="preserve">RANCAN LLC                          </t>
  </si>
  <si>
    <t xml:space="preserve">R&amp;C INTERNATIONAL HOLDINGS LLC      </t>
  </si>
  <si>
    <t>2016EX00902</t>
  </si>
  <si>
    <t>022301-4-109-2008</t>
  </si>
  <si>
    <t xml:space="preserve">Bethel Center Bldg B - #1541        </t>
  </si>
  <si>
    <t xml:space="preserve">BCB LLC                             </t>
  </si>
  <si>
    <t xml:space="preserve">VANNY LE LLC                        </t>
  </si>
  <si>
    <t>2016EX01068</t>
  </si>
  <si>
    <t>4502-016-034-0001</t>
  </si>
  <si>
    <t xml:space="preserve">TROUT LORRAINE L                    </t>
  </si>
  <si>
    <t xml:space="preserve">WORLD WEST INVESTMENTS INC          </t>
  </si>
  <si>
    <t>2016EX01086</t>
  </si>
  <si>
    <t>8169-000-002-0008</t>
  </si>
  <si>
    <t xml:space="preserve">Unit 2- East Building               </t>
  </si>
  <si>
    <t xml:space="preserve">RUCH ROBERT T                       </t>
  </si>
  <si>
    <t xml:space="preserve">GRACE PROPERTY HOLDINGS LLC         </t>
  </si>
  <si>
    <t>2016EX01097</t>
  </si>
  <si>
    <t xml:space="preserve">Downtown Kingston             </t>
  </si>
  <si>
    <t>4316-031-022-0000</t>
  </si>
  <si>
    <t xml:space="preserve">Restaurant                          </t>
  </si>
  <si>
    <t xml:space="preserve">CO--UVC                       </t>
  </si>
  <si>
    <t xml:space="preserve">A &amp; S INVESTMENTS LLC               </t>
  </si>
  <si>
    <t xml:space="preserve">ROONGSUREEYA INC                    </t>
  </si>
  <si>
    <t>2016EX01098</t>
  </si>
  <si>
    <t>8070-001-031-0009</t>
  </si>
  <si>
    <t xml:space="preserve">Poulsbo Yacht Club 44lf covered     </t>
  </si>
  <si>
    <t xml:space="preserve">GADBOIS ELIZABETH TRUSTEE           </t>
  </si>
  <si>
    <t xml:space="preserve">SIMPSON PETER L &amp; COPLEY DONNA M    </t>
  </si>
  <si>
    <t>2016EX01112</t>
  </si>
  <si>
    <t>362401-3-082-2000</t>
  </si>
  <si>
    <t xml:space="preserve">Walgreen's Port Orchard             </t>
  </si>
  <si>
    <t xml:space="preserve">MCCANDLESS PORT ORCHARD LLC         </t>
  </si>
  <si>
    <t xml:space="preserve">LEASE FUND II LLC                   </t>
  </si>
  <si>
    <t>2016EX01175</t>
  </si>
  <si>
    <t>4048-005-007-0008</t>
  </si>
  <si>
    <t xml:space="preserve">Fourplex Portland Ave               </t>
  </si>
  <si>
    <t xml:space="preserve">CHU DWAYNE K &amp; LISA A &amp;             </t>
  </si>
  <si>
    <t>HARNACK KELLY KATHLEEN &amp; MATTHEW LEE</t>
  </si>
  <si>
    <t>2016EX01188</t>
  </si>
  <si>
    <t xml:space="preserve">141- Condo, residential       </t>
  </si>
  <si>
    <t>8509-000-001-0008</t>
  </si>
  <si>
    <t xml:space="preserve">Converted SFR-Coffee Shop           </t>
  </si>
  <si>
    <t xml:space="preserve">MUNSON STREET LLC                   </t>
  </si>
  <si>
    <t>2016EX01196</t>
  </si>
  <si>
    <t xml:space="preserve">E Bremerton North of Riddell  </t>
  </si>
  <si>
    <t>262501-2-032-2004</t>
  </si>
  <si>
    <t xml:space="preserve">Central Valley Dental Center        </t>
  </si>
  <si>
    <t>4 - Right-of-way</t>
  </si>
  <si>
    <t xml:space="preserve">CENTRAL VALLEY DENTAL CENTER L      </t>
  </si>
  <si>
    <t>2016EX01204</t>
  </si>
  <si>
    <t>3734-010-006-0000</t>
  </si>
  <si>
    <t xml:space="preserve">635 N Montgomery - CC Block Whse    </t>
  </si>
  <si>
    <t xml:space="preserve">HORNING SPENCER H &amp; FRANCES J       </t>
  </si>
  <si>
    <t xml:space="preserve">GOSSELIN TIMOTHY R &amp; MOLLIE M       </t>
  </si>
  <si>
    <t>2016EX01210</t>
  </si>
  <si>
    <t>5392-000-009-0006</t>
  </si>
  <si>
    <t xml:space="preserve">Rainier Collision                   </t>
  </si>
  <si>
    <t xml:space="preserve">BECK DOUGLAS &amp; MIMMI LLC            </t>
  </si>
  <si>
    <t xml:space="preserve">SONIBENN LLC                        </t>
  </si>
  <si>
    <t>2016EX01240</t>
  </si>
  <si>
    <t>8070-005-010-0005</t>
  </si>
  <si>
    <t xml:space="preserve">PYC 50LF  D-10                      </t>
  </si>
  <si>
    <t xml:space="preserve">DOVE FREDERICK R &amp; MARILYNN J       </t>
  </si>
  <si>
    <t xml:space="preserve">SAVAGE RONALD D &amp; LEE DEBORAH A     </t>
  </si>
  <si>
    <t>2016EX01401</t>
  </si>
  <si>
    <t>262501-4-111-2004</t>
  </si>
  <si>
    <t xml:space="preserve">Clear Choice Cannabis               </t>
  </si>
  <si>
    <t xml:space="preserve">B P &amp; I INC                         </t>
  </si>
  <si>
    <t>2016EX01408</t>
  </si>
  <si>
    <t xml:space="preserve">135- 30-39 living units       </t>
  </si>
  <si>
    <t>262502-2-123-2003</t>
  </si>
  <si>
    <t xml:space="preserve">Camellia Apts                       </t>
  </si>
  <si>
    <t xml:space="preserve">IHLAND APARTMENTS LLC               </t>
  </si>
  <si>
    <t xml:space="preserve">LBG BAINBRIDGE LLC                  </t>
  </si>
  <si>
    <t>2016EX01418</t>
  </si>
  <si>
    <t>142601-2-034-2005</t>
  </si>
  <si>
    <t xml:space="preserve">NK Med Center Bld C                 </t>
  </si>
  <si>
    <t xml:space="preserve">LPSL CORPORATE SERVICES INC         </t>
  </si>
  <si>
    <t xml:space="preserve">WELLS FARGO BANK NA                 </t>
  </si>
  <si>
    <t>2016EX01529</t>
  </si>
  <si>
    <t>262702-4-003-2002</t>
  </si>
  <si>
    <t xml:space="preserve">Kingston Mercantile &amp; Marine        </t>
  </si>
  <si>
    <t>U - Change of Use</t>
  </si>
  <si>
    <t xml:space="preserve">SWIGARD PHILIP K TRUSTEE            </t>
  </si>
  <si>
    <t xml:space="preserve">ISSA ANTOINE &amp; TANIA                </t>
  </si>
  <si>
    <t>2016EX01544</t>
  </si>
  <si>
    <t>3965-000-161-0002</t>
  </si>
  <si>
    <t xml:space="preserve">SFR on Lower Wheaton                </t>
  </si>
  <si>
    <t xml:space="preserve">COOPER DAVID A &amp; TERRY L &amp;          </t>
  </si>
  <si>
    <t xml:space="preserve">BETZ ANDREW                         </t>
  </si>
  <si>
    <t>2016EX01582</t>
  </si>
  <si>
    <t>272502-4-017-2007</t>
  </si>
  <si>
    <t xml:space="preserve">Office- 205 Madison Ave             </t>
  </si>
  <si>
    <t xml:space="preserve">213 MADISON LLC                     </t>
  </si>
  <si>
    <t xml:space="preserve">MADISON 213 LLC                     </t>
  </si>
  <si>
    <t>2016EX01625</t>
  </si>
  <si>
    <t>262502-2-051-2009</t>
  </si>
  <si>
    <t xml:space="preserve">Converted SFR Counseling Office     </t>
  </si>
  <si>
    <t xml:space="preserve">GOLD BRETT G &amp; BETH A               </t>
  </si>
  <si>
    <t xml:space="preserve">WING POINT PROPERTIES LLC           </t>
  </si>
  <si>
    <t>2016EX01631</t>
  </si>
  <si>
    <t>4028-002-004-0002</t>
  </si>
  <si>
    <t xml:space="preserve">Hiro Sushi Restaurant               </t>
  </si>
  <si>
    <t xml:space="preserve">HESS CHONG SUN                      </t>
  </si>
  <si>
    <t xml:space="preserve">CLOISE &amp; MIKE CONSTRUCTION INC      </t>
  </si>
  <si>
    <t>2016EX01664</t>
  </si>
  <si>
    <t>142601-1-032-2009</t>
  </si>
  <si>
    <t>BL N of Forest Rock lot contig w/055</t>
  </si>
  <si>
    <t xml:space="preserve">PPB PROPERTIES LLC                  </t>
  </si>
  <si>
    <t xml:space="preserve">SHERRARD J ANDREW &amp; MICHELLE        </t>
  </si>
  <si>
    <t>2016EX01721</t>
  </si>
  <si>
    <t>8056-005-032-0007</t>
  </si>
  <si>
    <t xml:space="preserve">M-32, 24lf                          </t>
  </si>
  <si>
    <t xml:space="preserve">CHEMIN PATRICE &amp; CHRISTA M          </t>
  </si>
  <si>
    <t xml:space="preserve">MOORE RONALD R &amp; SUSAN W TRUSTEES   </t>
  </si>
  <si>
    <t>2016EX01783</t>
  </si>
  <si>
    <t>8056-005-029-0002</t>
  </si>
  <si>
    <t xml:space="preserve">WW M-29  24LF                       </t>
  </si>
  <si>
    <t xml:space="preserve">ANISOGLU CIHAN &amp; DOROTHY M          </t>
  </si>
  <si>
    <t xml:space="preserve">GOSSAGE KRISTIN &amp; CHARLES TRUSTEES  </t>
  </si>
  <si>
    <t>2016EX01802</t>
  </si>
  <si>
    <t>342401-4-021-2004</t>
  </si>
  <si>
    <t xml:space="preserve">Conv SFR Pottery                    </t>
  </si>
  <si>
    <t xml:space="preserve">BUSEK JOHN L                        </t>
  </si>
  <si>
    <t xml:space="preserve">FULLINGTON MACIANA &amp; MARK           </t>
  </si>
  <si>
    <t>2016EX01913</t>
  </si>
  <si>
    <t xml:space="preserve">940- CU Open Space            </t>
  </si>
  <si>
    <t>082401-1-019-2006</t>
  </si>
  <si>
    <t xml:space="preserve">Holes 1-3, 5-7, 10, 17, 18          </t>
  </si>
  <si>
    <t xml:space="preserve">KITSAP GOLF &amp; COUNTRY CLUB          </t>
  </si>
  <si>
    <t xml:space="preserve">ATC SEQUOIA LLC                     </t>
  </si>
  <si>
    <t>2016EX02005</t>
  </si>
  <si>
    <t>212401-1-035-2009</t>
  </si>
  <si>
    <t xml:space="preserve">DSHS Building                       </t>
  </si>
  <si>
    <t xml:space="preserve">CENTURY INVESTMENT ASSOCIATES       </t>
  </si>
  <si>
    <t xml:space="preserve">OLSON INVESTMENTS LLC               </t>
  </si>
  <si>
    <t>2016EX02025</t>
  </si>
  <si>
    <t>5490-000-200-0004</t>
  </si>
  <si>
    <t xml:space="preserve">mixed use townhome                  </t>
  </si>
  <si>
    <t xml:space="preserve">LANE ROBERT K &amp; REIKO               </t>
  </si>
  <si>
    <t xml:space="preserve">NESBY MARK &amp; PATTY                  </t>
  </si>
  <si>
    <t>2016EX02030</t>
  </si>
  <si>
    <t>4316-008-001-0201</t>
  </si>
  <si>
    <t xml:space="preserve">SFR Between Central Ave/St Hwy 104  </t>
  </si>
  <si>
    <t xml:space="preserve">SPRUANCE H DOUGLAS III              </t>
  </si>
  <si>
    <t xml:space="preserve">ISSA ANTOINE F &amp; TANIA J            </t>
  </si>
  <si>
    <t>2016EX02049</t>
  </si>
  <si>
    <t>4053-005-002-0005</t>
  </si>
  <si>
    <t xml:space="preserve">New Hope Church                     </t>
  </si>
  <si>
    <t xml:space="preserve">SPIRIT OF TRUTH FELLOWSHIP          </t>
  </si>
  <si>
    <t xml:space="preserve">CAPITAL CHRISTIAN CENTER            </t>
  </si>
  <si>
    <t>2016EX02066</t>
  </si>
  <si>
    <t>092702-1-033-2003</t>
  </si>
  <si>
    <t xml:space="preserve">BL Hansville SE of Industrial Way   </t>
  </si>
  <si>
    <t xml:space="preserve">ADVANCED LAND AND BUSINESS LLC      </t>
  </si>
  <si>
    <t>2016EX02073</t>
  </si>
  <si>
    <t>8141-012-008-0000</t>
  </si>
  <si>
    <t xml:space="preserve">Kitsap Hangar Leasehold Condo B12-8 </t>
  </si>
  <si>
    <t xml:space="preserve">CRASHBAD LLC                        </t>
  </si>
  <si>
    <t xml:space="preserve">FRITTS PAUL                         </t>
  </si>
  <si>
    <t>2016EX02118</t>
  </si>
  <si>
    <t xml:space="preserve">470- Communications           </t>
  </si>
  <si>
    <t>012401-4-013-2102</t>
  </si>
  <si>
    <t xml:space="preserve">Taxable cell site                   </t>
  </si>
  <si>
    <t xml:space="preserve">CENTRAL KITSAP FIRE &amp; RESCUE        </t>
  </si>
  <si>
    <t xml:space="preserve">CROWN CASTLE TOWERS 09 LLC          </t>
  </si>
  <si>
    <t>2016EX02119</t>
  </si>
  <si>
    <t>012401-4-013-2201</t>
  </si>
  <si>
    <t>2016EX02121</t>
  </si>
  <si>
    <t>8056-004-043-0007</t>
  </si>
  <si>
    <t xml:space="preserve">WW D-43,  30lf                      </t>
  </si>
  <si>
    <t xml:space="preserve">MACDOUGALL IVER C &amp; TERRY A         </t>
  </si>
  <si>
    <t>MAHONEY RICHARD L &amp; HARTMAN LOIS L T</t>
  </si>
  <si>
    <t>2016EX02214</t>
  </si>
  <si>
    <t>272502-4-172-2008</t>
  </si>
  <si>
    <t xml:space="preserve">Harbor Place                        </t>
  </si>
  <si>
    <t xml:space="preserve">HILLIS CLARK MARTIN &amp; PETERSON      </t>
  </si>
  <si>
    <t xml:space="preserve">THE CARLE &amp; ANNE CONWAY TRUST       </t>
  </si>
  <si>
    <t>2016EX02223</t>
  </si>
  <si>
    <t>232601-1-113-2000</t>
  </si>
  <si>
    <t xml:space="preserve">2 story retail bldg                 </t>
  </si>
  <si>
    <t xml:space="preserve">LEACH RUSSELL D &amp; LORI J            </t>
  </si>
  <si>
    <t xml:space="preserve">33 PROPERTIES LLC                   </t>
  </si>
  <si>
    <t>2016EX02317</t>
  </si>
  <si>
    <t>172501-2-003-2000</t>
  </si>
  <si>
    <t xml:space="preserve">SFR on Old Frontier                 </t>
  </si>
  <si>
    <t xml:space="preserve">ADAMSKI RIOS VALERIE J &amp;            </t>
  </si>
  <si>
    <t xml:space="preserve">DODGE LEONARD D &amp; DAWN M            </t>
  </si>
  <si>
    <t>2016EX02324</t>
  </si>
  <si>
    <t>8070-002-029-0001</t>
  </si>
  <si>
    <t xml:space="preserve">PYC 44LF                            </t>
  </si>
  <si>
    <t xml:space="preserve">THOMPSON CURTIS B &amp; SALLY T         </t>
  </si>
  <si>
    <t xml:space="preserve">RASMUSSEN PHILIP A &amp; CYNTHIA A      </t>
  </si>
  <si>
    <t>2016EX02407</t>
  </si>
  <si>
    <t>072301-2-012-2003</t>
  </si>
  <si>
    <t xml:space="preserve">Exempt Community Club Bldg          </t>
  </si>
  <si>
    <t xml:space="preserve">SUNNYSLOPE IMPROVEMENT ASSOC        </t>
  </si>
  <si>
    <t>2016EX02436</t>
  </si>
  <si>
    <t>4038-002-002-0101</t>
  </si>
  <si>
    <t xml:space="preserve">SFR Tremont &amp; Roland                </t>
  </si>
  <si>
    <t xml:space="preserve">COLEBANK PAULETTE                   </t>
  </si>
  <si>
    <t>WHITESIDE TERESA C &amp; KESTERSON FOX &amp;</t>
  </si>
  <si>
    <t>2016EX02458</t>
  </si>
  <si>
    <t xml:space="preserve">SUNSET SILVERDALE LLC               </t>
  </si>
  <si>
    <t>2016EX02474</t>
  </si>
  <si>
    <t>4526-000-011-1101</t>
  </si>
  <si>
    <t xml:space="preserve">Fix Auto                            </t>
  </si>
  <si>
    <t xml:space="preserve">CHM PROPERTIES LLC                  </t>
  </si>
  <si>
    <t>DENNY MARK &amp; PATRICIA PURCELL TRUSTE</t>
  </si>
  <si>
    <t>2016EX02581</t>
  </si>
  <si>
    <t>262502-3-154-2003</t>
  </si>
  <si>
    <t xml:space="preserve">Islander MHP                        </t>
  </si>
  <si>
    <t xml:space="preserve">CITY OF BAINBRIDGE ISLAND           </t>
  </si>
  <si>
    <t xml:space="preserve">WOOD TONI                           </t>
  </si>
  <si>
    <t>2016EX02696</t>
  </si>
  <si>
    <t>032502-3-020-2002</t>
  </si>
  <si>
    <t xml:space="preserve">Sage Manufacturing                  </t>
  </si>
  <si>
    <t xml:space="preserve">BI--B/I                       </t>
  </si>
  <si>
    <t xml:space="preserve">MURDOCK R W &amp; JUDITH TRUSTEES       </t>
  </si>
  <si>
    <t>2016EX02740</t>
  </si>
  <si>
    <t>262702-4-082-2006</t>
  </si>
  <si>
    <t xml:space="preserve">BL W of Lindvog on James Ln         </t>
  </si>
  <si>
    <t>J - Plottage</t>
  </si>
  <si>
    <t xml:space="preserve">TIMBERLAND BANK                     </t>
  </si>
  <si>
    <t xml:space="preserve">NATHAN GLEN PROPERTIES LLC          </t>
  </si>
  <si>
    <t>2016EX02764</t>
  </si>
  <si>
    <t>4274-000-025-0101</t>
  </si>
  <si>
    <t xml:space="preserve">Retail with apartment above.        </t>
  </si>
  <si>
    <t xml:space="preserve">SANDUL LLC                          </t>
  </si>
  <si>
    <t xml:space="preserve">WANG MEIFU &amp; TOWNSEND STEVEN R      </t>
  </si>
  <si>
    <t>2016EX02866</t>
  </si>
  <si>
    <t>543- Conv. store w/o gas pumps</t>
  </si>
  <si>
    <t>4859-007-012-0005</t>
  </si>
  <si>
    <t xml:space="preserve">Burley Convenience Store            </t>
  </si>
  <si>
    <t xml:space="preserve">MGD FAMILY LIMITED PARTNERSHIP      </t>
  </si>
  <si>
    <t xml:space="preserve">MYONG JIN CORP                      </t>
  </si>
  <si>
    <t>2016EX02874</t>
  </si>
  <si>
    <t>292702-3-093-2002</t>
  </si>
  <si>
    <t xml:space="preserve">BL - Lot C S of Bond on United RD   </t>
  </si>
  <si>
    <t xml:space="preserve">CLEAVER PROPERTIES LLC              </t>
  </si>
  <si>
    <t xml:space="preserve">ERICKSON DAVID JAMES                </t>
  </si>
  <si>
    <t>2016EX02943</t>
  </si>
  <si>
    <t xml:space="preserve">BARING FIRST CAPITAL LLC            </t>
  </si>
  <si>
    <t>2016EX02946</t>
  </si>
  <si>
    <t>8109-003-005-0002</t>
  </si>
  <si>
    <t xml:space="preserve">Village Home Bldg 3 Unit 5          </t>
  </si>
  <si>
    <t xml:space="preserve">LINZ ROBERT L                       </t>
  </si>
  <si>
    <t xml:space="preserve">NOVAK MARSHA M &amp; ROBERT H           </t>
  </si>
  <si>
    <t>2016EX02998</t>
  </si>
  <si>
    <t>352401-2-022-2006</t>
  </si>
  <si>
    <t xml:space="preserve">MH - Melcher                        </t>
  </si>
  <si>
    <t xml:space="preserve">PO--R20                       </t>
  </si>
  <si>
    <t xml:space="preserve">CITY OF PORT ORCHARD                </t>
  </si>
  <si>
    <t xml:space="preserve">CREECH ROBERTA J TRUSTEE            </t>
  </si>
  <si>
    <t>2016EX03020</t>
  </si>
  <si>
    <t>8171-016-004-0008</t>
  </si>
  <si>
    <t xml:space="preserve">Kitsap Hangar Leasehold Condo B16-4 </t>
  </si>
  <si>
    <t xml:space="preserve">PRINCE ROBERT W JR &amp; NIAMH A        </t>
  </si>
  <si>
    <t>CLEVEN JERAULD RICHARD &amp; PATRICIA IR</t>
  </si>
  <si>
    <t>2016EX03026</t>
  </si>
  <si>
    <t xml:space="preserve">SK E. Hwy 16-COM              </t>
  </si>
  <si>
    <t>132301-2-009-2000</t>
  </si>
  <si>
    <t xml:space="preserve">BL Van Skiver Rd                    </t>
  </si>
  <si>
    <t xml:space="preserve">WHEELER JOHN J &amp; CHARLOTTE A        </t>
  </si>
  <si>
    <t xml:space="preserve">WHEELER CHARLOTTE A                 </t>
  </si>
  <si>
    <t>2016EX03061</t>
  </si>
  <si>
    <t>162501-3-144-2009</t>
  </si>
  <si>
    <t xml:space="preserve">Creekside Ofc- Fidelity National    </t>
  </si>
  <si>
    <t xml:space="preserve">DYES INLET PROPERTIES LLC           </t>
  </si>
  <si>
    <t xml:space="preserve">HUISH SILVERDALE BLDG LLC           </t>
  </si>
  <si>
    <t>2016EX03226</t>
  </si>
  <si>
    <t xml:space="preserve">West Bremerton Salt Wtrft-COM </t>
  </si>
  <si>
    <t>3782-001-005-0308</t>
  </si>
  <si>
    <t xml:space="preserve">Three Duplexes High Avenue          </t>
  </si>
  <si>
    <t xml:space="preserve">17TH ON HIGH LLC                    </t>
  </si>
  <si>
    <t xml:space="preserve">BLONIARZ WILLIAM J                  </t>
  </si>
  <si>
    <t>2016EX03268</t>
  </si>
  <si>
    <t>3913-008-001-0002</t>
  </si>
  <si>
    <t xml:space="preserve">Restaurant Manette                  </t>
  </si>
  <si>
    <t xml:space="preserve">MNC PROP I LLC                      </t>
  </si>
  <si>
    <t xml:space="preserve">ORLANDO LLC                         </t>
  </si>
  <si>
    <t>2016EX03420</t>
  </si>
  <si>
    <t>8125-000-002-0001</t>
  </si>
  <si>
    <t xml:space="preserve">San Juan Mixed Use Ofc/Retail Condo </t>
  </si>
  <si>
    <t xml:space="preserve">SAN JUAN PARTNERS LLC               </t>
  </si>
  <si>
    <t xml:space="preserve">SJ COMMERCIAL LLC                   </t>
  </si>
  <si>
    <t>2016EX03470</t>
  </si>
  <si>
    <t>8070-001-024-0008</t>
  </si>
  <si>
    <t xml:space="preserve">Poulsbo Yacht Club 48lf  A-24       </t>
  </si>
  <si>
    <t xml:space="preserve">BROOKE TOM &amp; MARIANNE               </t>
  </si>
  <si>
    <t xml:space="preserve">OSTERLIE PHILIP &amp; LINDA             </t>
  </si>
  <si>
    <t>2016EX03558</t>
  </si>
  <si>
    <t>8164-015-002-0001</t>
  </si>
  <si>
    <t xml:space="preserve">T-Hangar B15-2 (Bld Only)           </t>
  </si>
  <si>
    <t xml:space="preserve">BRENNAN TERRENCE &amp; PATTI L          </t>
  </si>
  <si>
    <t>2016EX03561</t>
  </si>
  <si>
    <t>102501-3-042-2008</t>
  </si>
  <si>
    <t xml:space="preserve">Silverdale Ridge Apts               </t>
  </si>
  <si>
    <t xml:space="preserve">RIDGE AT SILVERDALE LLC             </t>
  </si>
  <si>
    <t xml:space="preserve">1501 NW AMBERCREST WAY PARTNERS LLC </t>
  </si>
  <si>
    <t>2016EX03667</t>
  </si>
  <si>
    <t>8151-000-101-0008</t>
  </si>
  <si>
    <t xml:space="preserve">Meridian Unit 101 Retail            </t>
  </si>
  <si>
    <t xml:space="preserve">ETHOS MERIDIAN LLC                  </t>
  </si>
  <si>
    <t xml:space="preserve">BRANDON BUILDINGS INC               </t>
  </si>
  <si>
    <t>2016EX03717</t>
  </si>
  <si>
    <t>292702-3-094-2001</t>
  </si>
  <si>
    <t xml:space="preserve">Warehouse Lot C Bond Rd. Bus. Pk. S </t>
  </si>
  <si>
    <t xml:space="preserve">WASHINGTON STATE PROPERTIES LLC     </t>
  </si>
  <si>
    <t>2016EX03724</t>
  </si>
  <si>
    <t>8073-000-002-0003</t>
  </si>
  <si>
    <t xml:space="preserve">Unit 2                              </t>
  </si>
  <si>
    <t xml:space="preserve">OLYMPIC MEDICAL IMAGING CONSUL      </t>
  </si>
  <si>
    <t>2016EX03735</t>
  </si>
  <si>
    <t>4684-002-001-0000</t>
  </si>
  <si>
    <t xml:space="preserve">VFW Post 2669                       </t>
  </si>
  <si>
    <t xml:space="preserve">BUILDING 160 ASSOCIATES ET AL       </t>
  </si>
  <si>
    <t>FRED NEEDHAM POST NO 2669 VETERANS O</t>
  </si>
  <si>
    <t>2016EX03859</t>
  </si>
  <si>
    <t>142401-2-142-2006</t>
  </si>
  <si>
    <t xml:space="preserve">Rainier Court Apts 2-SFR, 4-duplex  </t>
  </si>
  <si>
    <t xml:space="preserve">WHITNEY ROBERT &amp; GAHLHOFF SONI      </t>
  </si>
  <si>
    <t xml:space="preserve">MA DEUCE LLC                        </t>
  </si>
  <si>
    <t>2016EX03906</t>
  </si>
  <si>
    <t>162501-2-054-2009</t>
  </si>
  <si>
    <t xml:space="preserve">Bank of America - Myhre             </t>
  </si>
  <si>
    <t xml:space="preserve">BANK OF AMERICA NA                  </t>
  </si>
  <si>
    <t xml:space="preserve">KITSAP COUNTY                       </t>
  </si>
  <si>
    <t>2016EX03963</t>
  </si>
  <si>
    <t>8070-005-024-0009</t>
  </si>
  <si>
    <t xml:space="preserve">PYC 60LF                            </t>
  </si>
  <si>
    <t xml:space="preserve">NEICHOY SHIRLEY KAY                 </t>
  </si>
  <si>
    <t xml:space="preserve">SPARKS MARK L &amp; CYNTHIA J           </t>
  </si>
  <si>
    <t>2016EX03991</t>
  </si>
  <si>
    <t>8055-003-004-0007</t>
  </si>
  <si>
    <t xml:space="preserve">EH 60lf                             </t>
  </si>
  <si>
    <t xml:space="preserve">BARUTT JOHN PLACIDUS                </t>
  </si>
  <si>
    <t xml:space="preserve">EAGLE HARBOR PARTNERS LLP           </t>
  </si>
  <si>
    <t>2016EX04089</t>
  </si>
  <si>
    <t>272502-1-006-2006</t>
  </si>
  <si>
    <t xml:space="preserve">Med/dental office HighSchool Rd     </t>
  </si>
  <si>
    <t xml:space="preserve">BI--R-8                       </t>
  </si>
  <si>
    <t xml:space="preserve">KITAMOTO SHARON K &amp; KITAMOTO S      </t>
  </si>
  <si>
    <t xml:space="preserve">W L MACE LLC                        </t>
  </si>
  <si>
    <t>2016EX04114</t>
  </si>
  <si>
    <t>182501-3-010-2008</t>
  </si>
  <si>
    <t xml:space="preserve">Warehouse south of  Apex airport    </t>
  </si>
  <si>
    <t xml:space="preserve">RZS ENTERPRISES LLC                 </t>
  </si>
  <si>
    <t>2016EX04139</t>
  </si>
  <si>
    <t>3718-008-017-0001</t>
  </si>
  <si>
    <t xml:space="preserve">The Curry Indian Cuisine &amp; Lounge   </t>
  </si>
  <si>
    <t xml:space="preserve">PETERSON NEIL J FAMILY LLC          </t>
  </si>
  <si>
    <t xml:space="preserve">JOSHI INVESTMENTS LLC               </t>
  </si>
  <si>
    <t>2016EX04172</t>
  </si>
  <si>
    <t>032502-3-056-2009</t>
  </si>
  <si>
    <t xml:space="preserve">Smallwood Design &amp; Construction     </t>
  </si>
  <si>
    <t xml:space="preserve">GOODWIN SUSAN J &amp; ANDREW E          </t>
  </si>
  <si>
    <t>2016EX04179</t>
  </si>
  <si>
    <t>4600-001-021-0009</t>
  </si>
  <si>
    <t xml:space="preserve">Warehouse 3690 G Str                </t>
  </si>
  <si>
    <t xml:space="preserve">SUNSHINE DEVELOPMENT LLC            </t>
  </si>
  <si>
    <t xml:space="preserve">SLATER ENTERPRISES LLC              </t>
  </si>
  <si>
    <t>2016EX04239</t>
  </si>
  <si>
    <t>312602-2-001-2002</t>
  </si>
  <si>
    <t xml:space="preserve">Office Bldg                         </t>
  </si>
  <si>
    <t xml:space="preserve">2010-1 CRE VENTURE LLC              </t>
  </si>
  <si>
    <t xml:space="preserve">STRUCTURED LLC                      </t>
  </si>
  <si>
    <t>2016EX04263</t>
  </si>
  <si>
    <t>102502-2-024-2001</t>
  </si>
  <si>
    <t xml:space="preserve">BL Day Rd and Phelps                </t>
  </si>
  <si>
    <t xml:space="preserve">DAY ROAD ASSOCIATES LLC             </t>
  </si>
  <si>
    <t xml:space="preserve">URBAN BAINBRIDGE LLC                </t>
  </si>
  <si>
    <t>2016EX04362</t>
  </si>
  <si>
    <t>3734-012-008-0004</t>
  </si>
  <si>
    <t xml:space="preserve">Parking Gravel lot W of U-haul      </t>
  </si>
  <si>
    <t xml:space="preserve">PHILLIPPI MEL D &amp; VICKI L           </t>
  </si>
  <si>
    <t>2016EX04382</t>
  </si>
  <si>
    <t>112301-1-027-2002</t>
  </si>
  <si>
    <t xml:space="preserve">SFR on Geiger                       </t>
  </si>
  <si>
    <t xml:space="preserve">NORTH CASCADE TRUSTEE SERVICES      </t>
  </si>
  <si>
    <t xml:space="preserve">WELLS FARGO BANK NA TRUSTEE         </t>
  </si>
  <si>
    <t>2016EX04550</t>
  </si>
  <si>
    <t>232501-1-064-2000</t>
  </si>
  <si>
    <t>BL Proposed Bulette Steele Crk W/065</t>
  </si>
  <si>
    <t xml:space="preserve">THE ROCKIN RS LLC                   </t>
  </si>
  <si>
    <t>2016EX04633</t>
  </si>
  <si>
    <t>4316-032-001-0003</t>
  </si>
  <si>
    <t xml:space="preserve">Future Coffee Oasis                 </t>
  </si>
  <si>
    <t xml:space="preserve">KITSAP COUNTY GENERAL               </t>
  </si>
  <si>
    <t xml:space="preserve">THE COFFEE OASIS                    </t>
  </si>
  <si>
    <t>2016EX04651</t>
  </si>
  <si>
    <t>8193-002-001-0005</t>
  </si>
  <si>
    <t>Box Hangar Bldg 2 Unit 1 (Bldg Only)</t>
  </si>
  <si>
    <t xml:space="preserve">SAFE BOATS INTL LLC                 </t>
  </si>
  <si>
    <t xml:space="preserve">MASCO PETROLEUM INC                 </t>
  </si>
  <si>
    <t>2016EX04698</t>
  </si>
  <si>
    <t xml:space="preserve">HOLMES JAKE DANIEL &amp;                </t>
  </si>
  <si>
    <t>2016EX04713</t>
  </si>
  <si>
    <t>112301-1-019-2002</t>
  </si>
  <si>
    <t xml:space="preserve">GWM corner Geiger/Sedgwick SFR      </t>
  </si>
  <si>
    <t xml:space="preserve">PORT ORCHARD SKATE INC              </t>
  </si>
  <si>
    <t xml:space="preserve">GREENWAY MERCHANDISE LLC            </t>
  </si>
  <si>
    <t>2016EX04748</t>
  </si>
  <si>
    <t>3726-000-006-0001</t>
  </si>
  <si>
    <t xml:space="preserve">6 Units @ 1307 Park Ave             </t>
  </si>
  <si>
    <t xml:space="preserve">BEYJOE CORP                         </t>
  </si>
  <si>
    <t xml:space="preserve">MCDERMOTT OWEN J &amp; ANNE J           </t>
  </si>
  <si>
    <t>2016EX04751</t>
  </si>
  <si>
    <t>3725-001-005-0001</t>
  </si>
  <si>
    <t xml:space="preserve">928 PLEASANT APTS                   </t>
  </si>
  <si>
    <t xml:space="preserve">CHARNES LOUIS D &amp; KINO LAURA K      </t>
  </si>
  <si>
    <t>2016EX04756</t>
  </si>
  <si>
    <t>4059-009-013-0008</t>
  </si>
  <si>
    <t xml:space="preserve">The law offices                     </t>
  </si>
  <si>
    <t xml:space="preserve">HUNKO ROGER &amp; KATHLEEN              </t>
  </si>
  <si>
    <t xml:space="preserve">WECKER DAVID &amp; ELAINE               </t>
  </si>
  <si>
    <t>2016EX04760</t>
  </si>
  <si>
    <t xml:space="preserve">508- Lodging condo            </t>
  </si>
  <si>
    <t>8166-000-001-0002</t>
  </si>
  <si>
    <t>Best Western Bainbridge Island Suite</t>
  </si>
  <si>
    <t xml:space="preserve">BAINBRIDGE ISLAND COMMONS LLC       </t>
  </si>
  <si>
    <t xml:space="preserve">BB HOTEL LLC                        </t>
  </si>
  <si>
    <t>2016EX04826</t>
  </si>
  <si>
    <t>4505-000-017-0201</t>
  </si>
  <si>
    <t xml:space="preserve">SFR, Repair Shop, and Land          </t>
  </si>
  <si>
    <t xml:space="preserve">LARSON PHILLIP G &amp; KAY Y            </t>
  </si>
  <si>
    <t xml:space="preserve">PINNACLE PROPERTIES NW LLC          </t>
  </si>
  <si>
    <t>2016EX04874</t>
  </si>
  <si>
    <t>8070-005-015-0000</t>
  </si>
  <si>
    <t xml:space="preserve">PYC 50LF                            </t>
  </si>
  <si>
    <t xml:space="preserve">CASTOR RAYMOND A &amp; CHERY LOUIS      </t>
  </si>
  <si>
    <t xml:space="preserve">POULSBO YACHT CLUB                  </t>
  </si>
  <si>
    <t>2016EX04888</t>
  </si>
  <si>
    <t>3917-000-001-0104</t>
  </si>
  <si>
    <t xml:space="preserve">SFR - Sylvan                        </t>
  </si>
  <si>
    <t xml:space="preserve">LNB INVESTMENTS LLC                 </t>
  </si>
  <si>
    <t xml:space="preserve">JOHNSON LISA C                      </t>
  </si>
  <si>
    <t>2016EX04953</t>
  </si>
  <si>
    <t xml:space="preserve">Kingston UGA-COM              </t>
  </si>
  <si>
    <t>4347-000-006-0008</t>
  </si>
  <si>
    <t xml:space="preserve">Fourplex- Central Ave Kingston      </t>
  </si>
  <si>
    <t xml:space="preserve">MULLER RODMAN &amp; NANCY CAROL         </t>
  </si>
  <si>
    <t xml:space="preserve">BELANICH ROBERT &amp; LEE SZE CHIEN     </t>
  </si>
  <si>
    <t>2016EX05046</t>
  </si>
  <si>
    <t>8056-002-003-0009</t>
  </si>
  <si>
    <t xml:space="preserve">WW B-030, 28lf slip                 </t>
  </si>
  <si>
    <t xml:space="preserve">HOBSON CRAIG E ESTATE               </t>
  </si>
  <si>
    <t xml:space="preserve">PRICE WILLIAM B &amp; SHARON R          </t>
  </si>
  <si>
    <t>2016EX05151</t>
  </si>
  <si>
    <t>012401-2-128-2009</t>
  </si>
  <si>
    <t>Corner Hollis &amp; Maple 3 whse, office</t>
  </si>
  <si>
    <t xml:space="preserve">LOIDHAMER JOHN E &amp; CAROL M          </t>
  </si>
  <si>
    <t xml:space="preserve">LOIDHAMER ROBERT L &amp; CAROLYN        </t>
  </si>
  <si>
    <t>2016EX05158</t>
  </si>
  <si>
    <t>322401-1-135-2005</t>
  </si>
  <si>
    <t xml:space="preserve">BL-l north of Railroad              </t>
  </si>
  <si>
    <t xml:space="preserve">CO--MIL                       </t>
  </si>
  <si>
    <t xml:space="preserve">DEVITT DARREN E &amp; SHERRIL L         </t>
  </si>
  <si>
    <t xml:space="preserve">LOCKHART PATRICK &amp; CHERYL           </t>
  </si>
  <si>
    <t>2016EX05168</t>
  </si>
  <si>
    <t>8056-005-015-0008</t>
  </si>
  <si>
    <t xml:space="preserve">WW M-15   24lf                      </t>
  </si>
  <si>
    <t xml:space="preserve">LAPINSKI JOHN &amp; ANJALI              </t>
  </si>
  <si>
    <t>2016EX05239</t>
  </si>
  <si>
    <t>5522-000-005-0003</t>
  </si>
  <si>
    <t xml:space="preserve">Wedgewood Apts-East half 4414       </t>
  </si>
  <si>
    <t xml:space="preserve">DEUTSCHE BANK NATIONAL TRUST CO     </t>
  </si>
  <si>
    <t>2016EX05291</t>
  </si>
  <si>
    <t>8055-003-019-0000</t>
  </si>
  <si>
    <t xml:space="preserve">Eagle Harbor Slip 42lf              </t>
  </si>
  <si>
    <t xml:space="preserve">BEAM RICHARD E &amp; BEAM CONNOLLY      </t>
  </si>
  <si>
    <t xml:space="preserve">MARTIN BARBARA A &amp;                  </t>
  </si>
  <si>
    <t>2016EX05473</t>
  </si>
  <si>
    <t>4650-002-005-0006</t>
  </si>
  <si>
    <t xml:space="preserve">Bayside Plaza Building              </t>
  </si>
  <si>
    <t xml:space="preserve">PO--GMU Gateway Mix Use       </t>
  </si>
  <si>
    <t xml:space="preserve">JUNG KYUNG LEE                      </t>
  </si>
  <si>
    <t xml:space="preserve">O &amp; B GROUP LLC                     </t>
  </si>
  <si>
    <t>2016EX05519</t>
  </si>
  <si>
    <t>262702-4-081-2007</t>
  </si>
  <si>
    <t xml:space="preserve">BL S of Hwy 104, west of Lindvog    </t>
  </si>
  <si>
    <t>2016EX05536</t>
  </si>
  <si>
    <t>4585-000-016-0809</t>
  </si>
  <si>
    <t xml:space="preserve">Cedarwood Townhomes 2 of 2          </t>
  </si>
  <si>
    <t xml:space="preserve">KELMAR HOLDINGS LLC                 </t>
  </si>
  <si>
    <t xml:space="preserve">WOODS JASON &amp; ROBIN                 </t>
  </si>
  <si>
    <t>2016EX05583</t>
  </si>
  <si>
    <t>322401-1-137-2003</t>
  </si>
  <si>
    <t xml:space="preserve">SKINNER BENTON L &amp; BARBARA J        </t>
  </si>
  <si>
    <t>2016EX05623</t>
  </si>
  <si>
    <t>152401-4-023-2005</t>
  </si>
  <si>
    <t xml:space="preserve">The Arbor at Bremerton              </t>
  </si>
  <si>
    <t xml:space="preserve">WELLINGTON PARK LLC                 </t>
  </si>
  <si>
    <t xml:space="preserve">BREMERTON MC PROPERTIES LLC         </t>
  </si>
  <si>
    <t>2016EX05633</t>
  </si>
  <si>
    <t>3737-001-008-0004</t>
  </si>
  <si>
    <t xml:space="preserve">902 Washington Apts and SFR         </t>
  </si>
  <si>
    <t xml:space="preserve">NJ NAYLOR INVESTMENTS TEN LLC       </t>
  </si>
  <si>
    <t xml:space="preserve">902 BREMERTON CORPORATION           </t>
  </si>
  <si>
    <t>2016EX05756</t>
  </si>
  <si>
    <t xml:space="preserve">ANDRADE SERGIO                      </t>
  </si>
  <si>
    <t>2016EX06060</t>
  </si>
  <si>
    <t>342301-3-018-2002</t>
  </si>
  <si>
    <t xml:space="preserve">Port Orchard Sand and Gravel        </t>
  </si>
  <si>
    <t xml:space="preserve">PORT ORCHARD SAND &amp; GRAVEL          </t>
  </si>
  <si>
    <t>2016EX06068</t>
  </si>
  <si>
    <t xml:space="preserve">PULUKURTHY SATYAVARDHAN &amp; SUCH      </t>
  </si>
  <si>
    <t xml:space="preserve">DORNBUSH DAVID J &amp; KAREN E          </t>
  </si>
  <si>
    <t>2016EX06122</t>
  </si>
  <si>
    <t>5053-000-005-0000</t>
  </si>
  <si>
    <t xml:space="preserve">Office Geico- Silverdale            </t>
  </si>
  <si>
    <t xml:space="preserve">SKBA LLC                            </t>
  </si>
  <si>
    <t>2016EX06134</t>
  </si>
  <si>
    <t>082401-2-051-2003</t>
  </si>
  <si>
    <t xml:space="preserve">Star Valley C-Store w/o gas &amp; MH    </t>
  </si>
  <si>
    <t xml:space="preserve">PNW PROPERTY HOLDINGS III LLC       </t>
  </si>
  <si>
    <t xml:space="preserve">BIG BACONS INVESTMENTS LLC          </t>
  </si>
  <si>
    <t>2016EX06407</t>
  </si>
  <si>
    <t>3976-030-012-0007</t>
  </si>
  <si>
    <t xml:space="preserve">BL Wft Lower Wheaton Sheds NV       </t>
  </si>
  <si>
    <t xml:space="preserve">HESS JUDITH L ESTATE                </t>
  </si>
  <si>
    <t xml:space="preserve">WATER WIND &amp; SKY LLC                </t>
  </si>
  <si>
    <t>2016EX06417</t>
  </si>
  <si>
    <t>4340-005-001-0108</t>
  </si>
  <si>
    <t>Kingston Olympic Ctr -Hardware store</t>
  </si>
  <si>
    <t xml:space="preserve">KINGSTON CENTER LLC                 </t>
  </si>
  <si>
    <t xml:space="preserve">HH &amp; SONS LLC                       </t>
  </si>
  <si>
    <t>2016EX06545</t>
  </si>
  <si>
    <t>032301-1-016-2005</t>
  </si>
  <si>
    <t xml:space="preserve">Daycare on Pottery                  </t>
  </si>
  <si>
    <t xml:space="preserve">WASHINGTON FEDERAL                  </t>
  </si>
  <si>
    <t xml:space="preserve">DETTLOFF PROPERTIES LLC             </t>
  </si>
  <si>
    <t>2016EX06607</t>
  </si>
  <si>
    <t>172501-3-022-2005</t>
  </si>
  <si>
    <t>BL - Old Frontier N of Anderson Hill</t>
  </si>
  <si>
    <t xml:space="preserve">SHERRARD PROPERTIES LLC             </t>
  </si>
  <si>
    <t>2016EX06635</t>
  </si>
  <si>
    <t>8055-003-021-0006</t>
  </si>
  <si>
    <t xml:space="preserve"> Eagle Harbor Marina C-21           </t>
  </si>
  <si>
    <t xml:space="preserve">UNWIN GONZALEZ SHERYL               </t>
  </si>
  <si>
    <t xml:space="preserve">BRUMLEY MATTHEW &amp; DANNA             </t>
  </si>
  <si>
    <t>2016EX06696</t>
  </si>
  <si>
    <t>4062-005-011-0003</t>
  </si>
  <si>
    <t xml:space="preserve">Fourplex Kitsap St                  </t>
  </si>
  <si>
    <t xml:space="preserve">HUDDLESTON PAUL RICHARD &amp; MALI      </t>
  </si>
  <si>
    <t xml:space="preserve">SWEET DANIEL A                      </t>
  </si>
  <si>
    <t>2016EX06729</t>
  </si>
  <si>
    <t>4489-000-002-0208</t>
  </si>
  <si>
    <t xml:space="preserve">Kitsap Satellite Resources          </t>
  </si>
  <si>
    <t xml:space="preserve">BUCHANAN LINDA &amp; ROSS LILLIAN       </t>
  </si>
  <si>
    <t xml:space="preserve">DRD CONCEPTS LLC                    </t>
  </si>
  <si>
    <t>2016EX06792</t>
  </si>
  <si>
    <t>4044-001-001-0007</t>
  </si>
  <si>
    <t xml:space="preserve">Cheer's Sports Bar/Restaurant       </t>
  </si>
  <si>
    <t xml:space="preserve">429 BAY STREET LLC                  </t>
  </si>
  <si>
    <t xml:space="preserve">KASHI 201 WILLIAMS LLC              </t>
  </si>
  <si>
    <t>2016EX06815</t>
  </si>
  <si>
    <t>4625-000-006-0605</t>
  </si>
  <si>
    <t xml:space="preserve">Monstar Wash, Espresso              </t>
  </si>
  <si>
    <t xml:space="preserve">GOODWIN WILLIAM J &amp; TERESA L        </t>
  </si>
  <si>
    <t xml:space="preserve">MONSTAR WASH SYSTEMS LLC            </t>
  </si>
  <si>
    <t>2016EX06866</t>
  </si>
  <si>
    <t>262502-3-015-2002</t>
  </si>
  <si>
    <t xml:space="preserve">SFR on Ericksen                     </t>
  </si>
  <si>
    <t xml:space="preserve">SILVER TABBY LLC                    </t>
  </si>
  <si>
    <t xml:space="preserve">GRICE ARTHUR D &amp; LINDSLEY SUSANNE J </t>
  </si>
  <si>
    <t>2016EX06940</t>
  </si>
  <si>
    <t xml:space="preserve">133- 15-19 living units       </t>
  </si>
  <si>
    <t>262702-1-045-2008</t>
  </si>
  <si>
    <t xml:space="preserve">Robinswood Apartments               </t>
  </si>
  <si>
    <t xml:space="preserve">KIM PAX LLC                         </t>
  </si>
  <si>
    <t>2016EX06948</t>
  </si>
  <si>
    <t>092502-1-035-2003</t>
  </si>
  <si>
    <t xml:space="preserve">2 Warehouses Day Rd                 </t>
  </si>
  <si>
    <t xml:space="preserve">SOUND PUBLISHING PROPERTIES IN      </t>
  </si>
  <si>
    <t xml:space="preserve">DAY ROAD INDUSTRIAL PARK LLC        </t>
  </si>
  <si>
    <t>2016EX06954</t>
  </si>
  <si>
    <t>102601-4-054-2000</t>
  </si>
  <si>
    <t xml:space="preserve">Sonic Fast Food                     </t>
  </si>
  <si>
    <t xml:space="preserve">COLUMBIA PROPERTY MANAGERS LLC      </t>
  </si>
  <si>
    <t xml:space="preserve">SB POULSBO LLC                      </t>
  </si>
  <si>
    <t>2016EX06977</t>
  </si>
  <si>
    <t>8056-003-004-0006</t>
  </si>
  <si>
    <t xml:space="preserve">Winslow Wharf C-04  30lf            </t>
  </si>
  <si>
    <t xml:space="preserve">CURTIN DENNIS ARNOLD &amp; SEAWRIG      </t>
  </si>
  <si>
    <t xml:space="preserve">JAMES BRENDA &amp; DARREN               </t>
  </si>
  <si>
    <t>2016EX06978</t>
  </si>
  <si>
    <t>152401-3-095-2000</t>
  </si>
  <si>
    <t xml:space="preserve">4180 Kitsap Way - Former Panda Inn  </t>
  </si>
  <si>
    <t xml:space="preserve">MENTOR EAGLESON JUDITH E PERSO      </t>
  </si>
  <si>
    <t xml:space="preserve">DEMULLING DONALD A &amp; DIANE D &amp;      </t>
  </si>
  <si>
    <t>2016EX06983</t>
  </si>
  <si>
    <t>102601-4-025-2006</t>
  </si>
  <si>
    <t xml:space="preserve">NW of VIking Wy and Hwy 305         </t>
  </si>
  <si>
    <t xml:space="preserve">STATE OF WASHINGTON                 </t>
  </si>
  <si>
    <t xml:space="preserve">SCHWARZ BRET A &amp; TAMMIE L           </t>
  </si>
  <si>
    <t>2016EX07174</t>
  </si>
  <si>
    <t>8061-001-011-0004</t>
  </si>
  <si>
    <t xml:space="preserve">Winslow Green #1A                   </t>
  </si>
  <si>
    <t xml:space="preserve">BUCKLEY EDWARD R &amp; MAUREEN P        </t>
  </si>
  <si>
    <t>CUNNINGHAM THOMAS J &amp; SUELLEN B TRUS</t>
  </si>
  <si>
    <t>2016EX07312</t>
  </si>
  <si>
    <t>322402-2-062-2009</t>
  </si>
  <si>
    <t xml:space="preserve">Long Lake Mini Storage              </t>
  </si>
  <si>
    <t xml:space="preserve">LONG LAKE MINI STORAGE LLC          </t>
  </si>
  <si>
    <t>2016EX07357</t>
  </si>
  <si>
    <t>8056-003-022-0004</t>
  </si>
  <si>
    <t xml:space="preserve">Winslow Wharf C-22 30LF             </t>
  </si>
  <si>
    <t xml:space="preserve">HEBARD DON W                        </t>
  </si>
  <si>
    <t>2016EX07375</t>
  </si>
  <si>
    <t>272502-4-097-2000</t>
  </si>
  <si>
    <t xml:space="preserve">DLI Leasing Office Bldg             </t>
  </si>
  <si>
    <t xml:space="preserve">DLG LEASING LLC                     </t>
  </si>
  <si>
    <t xml:space="preserve">MICHAEL &amp; DARDEN BURNS LLC          </t>
  </si>
  <si>
    <t>2016EX07449</t>
  </si>
  <si>
    <t xml:space="preserve">Port Orchard WF-COM           </t>
  </si>
  <si>
    <t>4027-034-006-0103</t>
  </si>
  <si>
    <t xml:space="preserve">Annapolis Apts                      </t>
  </si>
  <si>
    <t xml:space="preserve">TIBBETTS JAMES G                    </t>
  </si>
  <si>
    <t xml:space="preserve">TEED ALAN HEYWOOD &amp; JOAN HEATH      </t>
  </si>
  <si>
    <t>2016EX07486</t>
  </si>
  <si>
    <t>4608-006-006-0009</t>
  </si>
  <si>
    <t xml:space="preserve">Gorst Baptist Community Church      </t>
  </si>
  <si>
    <t xml:space="preserve">CO--RP                        </t>
  </si>
  <si>
    <t xml:space="preserve">WASHINGTON BAPTIST CONVENTION       </t>
  </si>
  <si>
    <t xml:space="preserve">NEW HEART CHURCH                    </t>
  </si>
  <si>
    <t>2016EX07487</t>
  </si>
  <si>
    <t>032301-4-028-2005</t>
  </si>
  <si>
    <t xml:space="preserve">Berry Lake Manor MHP                </t>
  </si>
  <si>
    <t xml:space="preserve">JAE LLC                             </t>
  </si>
  <si>
    <t xml:space="preserve">BERRY LAKE MHC LLC                  </t>
  </si>
  <si>
    <t>2016EX07554</t>
  </si>
  <si>
    <t>3806-005-009-0000</t>
  </si>
  <si>
    <t xml:space="preserve">SFR on Callow                       </t>
  </si>
  <si>
    <t xml:space="preserve">PALMER KEN &amp; BARBARA                </t>
  </si>
  <si>
    <t>2016EX07577</t>
  </si>
  <si>
    <t>3717-001-017-0007</t>
  </si>
  <si>
    <t xml:space="preserve">Triplex 6th Street                  </t>
  </si>
  <si>
    <t xml:space="preserve">RAMONDETTA RICHARD W                </t>
  </si>
  <si>
    <t xml:space="preserve">NEWTON JACK TYLER                   </t>
  </si>
  <si>
    <t>2016EX07616</t>
  </si>
  <si>
    <t>272502-4-112-2001</t>
  </si>
  <si>
    <t xml:space="preserve">Madison Bldg- Madrona School        </t>
  </si>
  <si>
    <t xml:space="preserve">JACKSON NINA G                      </t>
  </si>
  <si>
    <t xml:space="preserve">MADISON AVENUE BI LLC               </t>
  </si>
  <si>
    <t>2016EX07824</t>
  </si>
  <si>
    <t>8055-004-013-0004</t>
  </si>
  <si>
    <t xml:space="preserve">Eagle Harbor Marina D-13   60LF     </t>
  </si>
  <si>
    <t xml:space="preserve">LAGERLOEF GARY &amp; MARCIA             </t>
  </si>
  <si>
    <t xml:space="preserve">EAGLE HARBOR PARTNERS LP            </t>
  </si>
  <si>
    <t>2016EX07882</t>
  </si>
  <si>
    <t>3718-022-006-0005</t>
  </si>
  <si>
    <t xml:space="preserve">1032 Burwell Apartments             </t>
  </si>
  <si>
    <t xml:space="preserve">SINALY NICK &amp; FOSMO BLAIR &amp; MA      </t>
  </si>
  <si>
    <t xml:space="preserve">1032 BURWELL LLC                    </t>
  </si>
  <si>
    <t>2016EX07933</t>
  </si>
  <si>
    <t>5106-000-002-0000</t>
  </si>
  <si>
    <t xml:space="preserve">Trillium Heights                    </t>
  </si>
  <si>
    <t xml:space="preserve">OLU IDA SEVEN STONES LLC            </t>
  </si>
  <si>
    <t xml:space="preserve">TRILLIUM HEIGHTS APARTMENTS         </t>
  </si>
  <si>
    <t>2016EX08028</t>
  </si>
  <si>
    <t>8070-005-013-0002</t>
  </si>
  <si>
    <t xml:space="preserve">HARRINGTON J KENNETH &amp; PATRICI      </t>
  </si>
  <si>
    <t xml:space="preserve">KING DAVID C                        </t>
  </si>
  <si>
    <t>2016EX08173</t>
  </si>
  <si>
    <t>3797-018-010-0001</t>
  </si>
  <si>
    <t xml:space="preserve">LAFONTAINE B KIM                    </t>
  </si>
  <si>
    <t xml:space="preserve">WEIR LOUIS J &amp; DELORES R            </t>
  </si>
  <si>
    <t>2016EX08202</t>
  </si>
  <si>
    <t>212501-2-020-2003</t>
  </si>
  <si>
    <t xml:space="preserve">Taco Time Bucklin Hill              </t>
  </si>
  <si>
    <t xml:space="preserve">ACCORD INC                          </t>
  </si>
  <si>
    <t>2016EX08240</t>
  </si>
  <si>
    <t>022401-1-043-2002</t>
  </si>
  <si>
    <t xml:space="preserve">Arbys - Wheaton Way                 </t>
  </si>
  <si>
    <t xml:space="preserve">DKD ENTERPRISES LLC                 </t>
  </si>
  <si>
    <t xml:space="preserve">LUTFI ANTON M &amp; ANNA                </t>
  </si>
  <si>
    <t>2016EX08260</t>
  </si>
  <si>
    <t>262702-4-080-2008</t>
  </si>
  <si>
    <t>2016EX08303</t>
  </si>
  <si>
    <t>4458-003-012-0108</t>
  </si>
  <si>
    <t xml:space="preserve">Sylvan Learning/Dolce Riccola Salon </t>
  </si>
  <si>
    <t xml:space="preserve">HARBOR RENTALS LLC                  </t>
  </si>
  <si>
    <t xml:space="preserve">OLYMPIC PHOTO GROUP INC             </t>
  </si>
  <si>
    <t>2016EX08426</t>
  </si>
  <si>
    <t>5522-000-001-0007</t>
  </si>
  <si>
    <t xml:space="preserve">Wedgewood Apts- East half 4410      </t>
  </si>
  <si>
    <t>DEUTSCHE BANK NATIONAL TRUST COMPANY</t>
  </si>
  <si>
    <t>2016EX08429</t>
  </si>
  <si>
    <t>052401-2-016-2000</t>
  </si>
  <si>
    <t xml:space="preserve">Cross Point Academy                 </t>
  </si>
  <si>
    <t xml:space="preserve">CRISTA MINISTRIES                   </t>
  </si>
  <si>
    <t xml:space="preserve">GATEWAY FELLOWSHIP OF POULSBO       </t>
  </si>
  <si>
    <t>2016EX08657</t>
  </si>
  <si>
    <t xml:space="preserve">134- 20-29 living units       </t>
  </si>
  <si>
    <t>132401-2-064-2001</t>
  </si>
  <si>
    <t xml:space="preserve">Pacific Terrace Apartments          </t>
  </si>
  <si>
    <t xml:space="preserve">ARDY LLC                            </t>
  </si>
  <si>
    <t xml:space="preserve">SEACREST INVESTMENT GROUP LLC       </t>
  </si>
  <si>
    <t>2016EX08708</t>
  </si>
  <si>
    <t>312402-2-002-2003</t>
  </si>
  <si>
    <t xml:space="preserve">BL South of Mile Hill               </t>
  </si>
  <si>
    <t xml:space="preserve">ECKLUND MORI                        </t>
  </si>
  <si>
    <t xml:space="preserve">FINAL VISION INC                    </t>
  </si>
  <si>
    <t>2016EX08726</t>
  </si>
  <si>
    <t>4624-069-001-0002</t>
  </si>
  <si>
    <t xml:space="preserve">VERLIES SEA VIEW MOTEL              </t>
  </si>
  <si>
    <t xml:space="preserve">GRANLUND MICHELL A &amp; REBECCA A      </t>
  </si>
  <si>
    <t xml:space="preserve">SUMAIJAV BAYARAA &amp; TUGSUU TAMIR     </t>
  </si>
  <si>
    <t>2016EX08780</t>
  </si>
  <si>
    <t>162501-4-108-2001</t>
  </si>
  <si>
    <t xml:space="preserve">Bldg B - VCA, Subway, Tessio        </t>
  </si>
  <si>
    <t xml:space="preserve">BUCKLIN PLACE LLC                   </t>
  </si>
  <si>
    <t xml:space="preserve">HESCHELES LLC                       </t>
  </si>
  <si>
    <t>2016EX08794</t>
  </si>
  <si>
    <t>352501-1-104-2008</t>
  </si>
  <si>
    <t xml:space="preserve">BL                                  </t>
  </si>
  <si>
    <t xml:space="preserve">VHM PARTNERSHIP                     </t>
  </si>
  <si>
    <t xml:space="preserve">BREMERTON COMMERCIAL PARK LLC       </t>
  </si>
  <si>
    <t>2016EX08837</t>
  </si>
  <si>
    <t>4038-002-001-0003</t>
  </si>
  <si>
    <t xml:space="preserve">BL on Pottery &amp; Tremont             </t>
  </si>
  <si>
    <t xml:space="preserve">GLOVER SANDRA M &amp; JON ERIC TRU      </t>
  </si>
  <si>
    <t xml:space="preserve">LSB PETROLEUM LLC                   </t>
  </si>
  <si>
    <t>2016EX08839</t>
  </si>
  <si>
    <t>3994-000-001-0001</t>
  </si>
  <si>
    <t xml:space="preserve">4080 Wheaton Way retail             </t>
  </si>
  <si>
    <t xml:space="preserve">R &amp; T BARBAER FAMILY LIMITED P      </t>
  </si>
  <si>
    <t xml:space="preserve">NORTHWEST COMMERCIAL LLC            </t>
  </si>
  <si>
    <t>2016EX08922</t>
  </si>
  <si>
    <t>4458-002-006-0009</t>
  </si>
  <si>
    <t xml:space="preserve">Office/ Conv Gar McConnell          </t>
  </si>
  <si>
    <t xml:space="preserve">BIALOCK RICK &amp; LISA                 </t>
  </si>
  <si>
    <t xml:space="preserve">TALBOT KARA                         </t>
  </si>
  <si>
    <t>2016EX08968</t>
  </si>
  <si>
    <t>3967-006-001-0100</t>
  </si>
  <si>
    <t xml:space="preserve">Olympic Professional Bldg           </t>
  </si>
  <si>
    <t xml:space="preserve">OLYMPIC PROFESSIONAL BUILDING       </t>
  </si>
  <si>
    <t xml:space="preserve">PANVIEW LLC                         </t>
  </si>
  <si>
    <t>2016EX09026</t>
  </si>
  <si>
    <t xml:space="preserve">ZAUPER ROBERT                       </t>
  </si>
  <si>
    <t>2016EX09034</t>
  </si>
  <si>
    <t xml:space="preserve">ROSE MANAGEMENT INC                 </t>
  </si>
  <si>
    <t>2016EX09057</t>
  </si>
  <si>
    <t xml:space="preserve">FANNIE MAE                          </t>
  </si>
  <si>
    <t>2016EX09082</t>
  </si>
  <si>
    <t>4062-005-001-0005</t>
  </si>
  <si>
    <t xml:space="preserve">Day Spa Massage                     </t>
  </si>
  <si>
    <t xml:space="preserve">ROSS MEGAN E                        </t>
  </si>
  <si>
    <t xml:space="preserve">AYERS HOLDINGS INC                  </t>
  </si>
  <si>
    <t>2016EX09094</t>
  </si>
  <si>
    <t>3743-002-027-0001</t>
  </si>
  <si>
    <t>Olympic personnel services Warren av</t>
  </si>
  <si>
    <t xml:space="preserve">HOTTEN VIRGINIA M                   </t>
  </si>
  <si>
    <t xml:space="preserve">ONEBUILD INC                        </t>
  </si>
  <si>
    <t>2016EX09135</t>
  </si>
  <si>
    <t>3774-012-005-0008</t>
  </si>
  <si>
    <t xml:space="preserve">Coastal Marine Service              </t>
  </si>
  <si>
    <t xml:space="preserve">LOCKE ARTHUR H &amp; PATRICIA R         </t>
  </si>
  <si>
    <t xml:space="preserve">2255 NATIONAL AVE LLC               </t>
  </si>
  <si>
    <t>2016EX09159</t>
  </si>
  <si>
    <t>8070-001-005-0001</t>
  </si>
  <si>
    <t xml:space="preserve">PYC A-5  44LF                       </t>
  </si>
  <si>
    <t xml:space="preserve">OSTERLI PHILIP P &amp; LINDA J          </t>
  </si>
  <si>
    <t xml:space="preserve">BUKOWSKY JOHN                       </t>
  </si>
  <si>
    <t>2016EX09203</t>
  </si>
  <si>
    <t>022301-2-128-2009</t>
  </si>
  <si>
    <t xml:space="preserve">Fourplex                            </t>
  </si>
  <si>
    <t xml:space="preserve">SABUNCIYAN SARO &amp; SUSIE U           </t>
  </si>
  <si>
    <t>LOPEZ FRANCISCA IRMA &amp; MIRAMONTES RI</t>
  </si>
  <si>
    <t>2016EX09274</t>
  </si>
  <si>
    <t xml:space="preserve">850- Mining &amp; related svcs    </t>
  </si>
  <si>
    <t xml:space="preserve">Belfair Valley-COM            </t>
  </si>
  <si>
    <t>152301-2-001-1008</t>
  </si>
  <si>
    <t xml:space="preserve">BL N of Hwy 3 - RP zone/ mineral    </t>
  </si>
  <si>
    <t xml:space="preserve">CAPITAL FINANCIAL LLC RECEIVER      </t>
  </si>
  <si>
    <t>ALLEN SHEARER TRUCKING &amp; LANDSCAPE S</t>
  </si>
  <si>
    <t>2016EX09289</t>
  </si>
  <si>
    <t>3715-000-020-0105</t>
  </si>
  <si>
    <t xml:space="preserve">4-Plex @ 601 N Constitution Ave     </t>
  </si>
  <si>
    <t xml:space="preserve">ADAMS MARK A&amp; PEGGY R               </t>
  </si>
  <si>
    <t xml:space="preserve">DIAMOND PARKING INC                 </t>
  </si>
  <si>
    <t>2016EX09290</t>
  </si>
  <si>
    <t>272502-1-060-2009</t>
  </si>
  <si>
    <t xml:space="preserve">BL on Madison west of Knechtel      </t>
  </si>
  <si>
    <t xml:space="preserve">COLE CLIFFORD M &amp; ELIZABETH A       </t>
  </si>
  <si>
    <t xml:space="preserve">MADISON PLACE LLC                   </t>
  </si>
  <si>
    <t>2016EX09467</t>
  </si>
  <si>
    <t>262501-2-033-2003</t>
  </si>
  <si>
    <t xml:space="preserve">Dr. Lingenbrink &amp; Dr. Rumsey        </t>
  </si>
  <si>
    <t xml:space="preserve">PLCL LLC                            </t>
  </si>
  <si>
    <t>2016EX09471</t>
  </si>
  <si>
    <t>292702-3-081-2006</t>
  </si>
  <si>
    <t xml:space="preserve">RAMIREZ EFRAIN &amp; KARINA             </t>
  </si>
  <si>
    <t>2016EX09527</t>
  </si>
  <si>
    <t>022301-2-063-2006</t>
  </si>
  <si>
    <t xml:space="preserve">Orchard Pointe Apartments           </t>
  </si>
  <si>
    <t xml:space="preserve">ALANS PEPPERCORN LLC ET AL          </t>
  </si>
  <si>
    <t xml:space="preserve">ORCHARD POINTE TNC LLC              </t>
  </si>
  <si>
    <t>2016EX09567</t>
  </si>
  <si>
    <t>4607-001-012-0003</t>
  </si>
  <si>
    <t xml:space="preserve">SFR W Side Hwy 3                    </t>
  </si>
  <si>
    <t xml:space="preserve">NW ASSET CONTROL                    </t>
  </si>
  <si>
    <t>2016EX09574</t>
  </si>
  <si>
    <t>022401-1-102-2000</t>
  </si>
  <si>
    <t xml:space="preserve">BL Wheaton Way                      </t>
  </si>
  <si>
    <t xml:space="preserve">THE JWJ GROUP LLC                   </t>
  </si>
  <si>
    <t xml:space="preserve">ASHLAND INVESTMENT LLC              </t>
  </si>
  <si>
    <t>2016EX09631</t>
  </si>
  <si>
    <t>302402-3-047-2009</t>
  </si>
  <si>
    <t xml:space="preserve">BiMart/Strip Retail Mile Hill       </t>
  </si>
  <si>
    <t>2 - Corporate affiliates</t>
  </si>
  <si>
    <t xml:space="preserve">DENVER GARDENS CO LLC               </t>
  </si>
  <si>
    <t xml:space="preserve">BILAK DORIAN &amp; FRANCES &amp;            </t>
  </si>
  <si>
    <t>2016EX09710</t>
  </si>
  <si>
    <t>4168-000-008-0002</t>
  </si>
  <si>
    <t xml:space="preserve">Island Music Guild/Rolling Bay Hall </t>
  </si>
  <si>
    <t xml:space="preserve">BI--NSC                       </t>
  </si>
  <si>
    <t xml:space="preserve">EAGLE HARBOR PROPERTIES INC         </t>
  </si>
  <si>
    <t xml:space="preserve">RBCH LLC                            </t>
  </si>
  <si>
    <t>2016EX09735</t>
  </si>
  <si>
    <t>322402-2-003-2001</t>
  </si>
  <si>
    <t xml:space="preserve">Country Junction                    </t>
  </si>
  <si>
    <t xml:space="preserve">ENDSLEY R PETE &amp; MERNA M            </t>
  </si>
  <si>
    <t xml:space="preserve">HUNGSUNG LLC                        </t>
  </si>
  <si>
    <t>2016EX09827</t>
  </si>
  <si>
    <t xml:space="preserve">South Liberty Bay-COM         </t>
  </si>
  <si>
    <t>4366-013-008-0005</t>
  </si>
  <si>
    <t xml:space="preserve">CO--KVC                       </t>
  </si>
  <si>
    <t xml:space="preserve">LANCO INTERNATIONAL LLC             </t>
  </si>
  <si>
    <t xml:space="preserve">NATHAN GLEN PROPERTIES THREE LLC    </t>
  </si>
  <si>
    <t>2016EX09843</t>
  </si>
  <si>
    <t xml:space="preserve">NEWLIFE CHURCH ON THE PENINSULA     </t>
  </si>
  <si>
    <t>2016EX09885</t>
  </si>
  <si>
    <t>012301-3-078-2008</t>
  </si>
  <si>
    <t xml:space="preserve">REED LARRY L &amp; IRMA J               </t>
  </si>
  <si>
    <t xml:space="preserve">MENEES PHILIP D &amp; WANDA J           </t>
  </si>
  <si>
    <t>2016EX09896</t>
  </si>
  <si>
    <t xml:space="preserve">Central Kitsap West           </t>
  </si>
  <si>
    <t>262501-2-008-2004</t>
  </si>
  <si>
    <t xml:space="preserve">Village Fair Apts                   </t>
  </si>
  <si>
    <t xml:space="preserve">VILLAGE FAIR LLC                    </t>
  </si>
  <si>
    <t xml:space="preserve">FAIRGROUNDS FEE OWNER LLC           </t>
  </si>
  <si>
    <t>2016EX09897</t>
  </si>
  <si>
    <t>252601-4-022-2002</t>
  </si>
  <si>
    <t xml:space="preserve">BL zoned IND on Hwy 305             </t>
  </si>
  <si>
    <t xml:space="preserve">HILL FAMILY INVESTMENTS LLC         </t>
  </si>
  <si>
    <t xml:space="preserve">WALL MICHAEL &amp; TRACY                </t>
  </si>
  <si>
    <t>2016EX09901</t>
  </si>
  <si>
    <t xml:space="preserve">STOVALL ROSCOE JR                   </t>
  </si>
  <si>
    <t>2016EX09941</t>
  </si>
  <si>
    <t>292702-1-035-2007</t>
  </si>
  <si>
    <t xml:space="preserve">TYCECO /#86                         </t>
  </si>
  <si>
    <t xml:space="preserve">PARNELL WILLIAM L                   </t>
  </si>
  <si>
    <t xml:space="preserve">BIZKIT LLC                          </t>
  </si>
  <si>
    <t>2017EX00023</t>
  </si>
  <si>
    <t>5601-000-005-0007</t>
  </si>
  <si>
    <t xml:space="preserve">Lot 5                               </t>
  </si>
  <si>
    <t xml:space="preserve">CS LAND HOLDINGS LLC                </t>
  </si>
  <si>
    <t xml:space="preserve">HARLOW BRUCE A                      </t>
  </si>
  <si>
    <t>2017EX00025</t>
  </si>
  <si>
    <t>5601-000-004-0008</t>
  </si>
  <si>
    <t xml:space="preserve">Lot 4                               </t>
  </si>
  <si>
    <t xml:space="preserve">RPMURPHY PROPERTIES LLC             </t>
  </si>
  <si>
    <t>2017EX00173</t>
  </si>
  <si>
    <t>4585-000-015-0107</t>
  </si>
  <si>
    <t xml:space="preserve">Manette Villa Apartments            </t>
  </si>
  <si>
    <t xml:space="preserve">NORTHWEST APARTMENTS INC            </t>
  </si>
  <si>
    <t xml:space="preserve">HUP BLUEBERRY PARK LLC              </t>
  </si>
  <si>
    <t>2017EX00178</t>
  </si>
  <si>
    <t>8145-000-011-0006</t>
  </si>
  <si>
    <t xml:space="preserve">The Winslow condo  - Unit B         </t>
  </si>
  <si>
    <t xml:space="preserve">THE WINSLOW I LLC                   </t>
  </si>
  <si>
    <t>CUNNINGHAM THOMAS J JR &amp; SUELLEN B T</t>
  </si>
  <si>
    <t>2017EX00179</t>
  </si>
  <si>
    <t>8145-000-012-0005</t>
  </si>
  <si>
    <t xml:space="preserve">The Winslow Condo - Unit C          </t>
  </si>
  <si>
    <t>2017EX00180</t>
  </si>
  <si>
    <t>8145-000-013-0004</t>
  </si>
  <si>
    <t xml:space="preserve">The Winslow Condo - Unit D          </t>
  </si>
  <si>
    <t>2017EX00226</t>
  </si>
  <si>
    <t>5319-000-019-0004</t>
  </si>
  <si>
    <t xml:space="preserve">CSWG &amp; Car Wash Silv Way/Bennington </t>
  </si>
  <si>
    <t xml:space="preserve">TWAE JI 2 INC                       </t>
  </si>
  <si>
    <t xml:space="preserve">ESSKAY 4 INC                        </t>
  </si>
  <si>
    <t>2017EX00299</t>
  </si>
  <si>
    <t>022301-4-108-2009</t>
  </si>
  <si>
    <t xml:space="preserve">Bethel Center Bldg A - #1551        </t>
  </si>
  <si>
    <t xml:space="preserve">ARIA INVESTMENT GROUP LLC           </t>
  </si>
  <si>
    <t xml:space="preserve">PPM PROPERTIES LLC                  </t>
  </si>
  <si>
    <t>2017EX00308</t>
  </si>
  <si>
    <t>3719-001-029-0506</t>
  </si>
  <si>
    <t xml:space="preserve">Kitsap Mental Health Services       </t>
  </si>
  <si>
    <t xml:space="preserve">AGAPE UNLIMITED                     </t>
  </si>
  <si>
    <t xml:space="preserve">AKE HOLDINGS LLC                    </t>
  </si>
  <si>
    <t>2017EX00329</t>
  </si>
  <si>
    <t>302402-4-209-2001</t>
  </si>
  <si>
    <t xml:space="preserve">Barry's Union 76                    </t>
  </si>
  <si>
    <t xml:space="preserve">PORT ORCHARD OIL LLC                </t>
  </si>
  <si>
    <t>2017EX00470</t>
  </si>
  <si>
    <t>322401-1-128-2004</t>
  </si>
  <si>
    <t xml:space="preserve">Quality Roofing fronting HWY 16     </t>
  </si>
  <si>
    <t xml:space="preserve">WILSON STEWART D                    </t>
  </si>
  <si>
    <t>BAY STREET INVESTMENT PROPERTIES LLC</t>
  </si>
  <si>
    <t>2017EX00502</t>
  </si>
  <si>
    <t>8056-001-010-0002</t>
  </si>
  <si>
    <t xml:space="preserve">WW A-10 32lf                        </t>
  </si>
  <si>
    <t xml:space="preserve">PETERSON DAVID C &amp; SUSAN L          </t>
  </si>
  <si>
    <t xml:space="preserve">RAINE MARK &amp; LEAH                   </t>
  </si>
  <si>
    <t>2017EX00516</t>
  </si>
  <si>
    <t>3718-006-003-0001</t>
  </si>
  <si>
    <t xml:space="preserve">4th St - Office Chamber of Commerce </t>
  </si>
  <si>
    <t xml:space="preserve">BREMERTON AREA CHAMBER OF COMM      </t>
  </si>
  <si>
    <t xml:space="preserve">KAULFUSS KENT &amp; GAIL                </t>
  </si>
  <si>
    <t>2017EX00533</t>
  </si>
  <si>
    <t>8011-000-005-0005</t>
  </si>
  <si>
    <t xml:space="preserve">Main building  south of north end   </t>
  </si>
  <si>
    <t xml:space="preserve">STAKER LYNN L                       </t>
  </si>
  <si>
    <t xml:space="preserve">STAKER CHELSEA D                    </t>
  </si>
  <si>
    <t>2017EX00602</t>
  </si>
  <si>
    <t>262702-4-079-2001</t>
  </si>
  <si>
    <t>2017EX00612</t>
  </si>
  <si>
    <t>082401-2-031-2008</t>
  </si>
  <si>
    <t xml:space="preserve">Northlake MHP                       </t>
  </si>
  <si>
    <t xml:space="preserve">OSHIKAWA SADAOMI &amp; PHYLLIS          </t>
  </si>
  <si>
    <t>NORTHLAKE COMMUNITY HOMEOWNERS COOPE</t>
  </si>
  <si>
    <t>2017EX00689</t>
  </si>
  <si>
    <t>4027-012-021-0001</t>
  </si>
  <si>
    <t xml:space="preserve">Triplex                             </t>
  </si>
  <si>
    <t>2017EX00783</t>
  </si>
  <si>
    <t>5095-000-001-0103</t>
  </si>
  <si>
    <t xml:space="preserve">CSWG - Ridgetop/Myhre Rd            </t>
  </si>
  <si>
    <t xml:space="preserve">KWON OH SUNG &amp; SO YOUNG             </t>
  </si>
  <si>
    <t xml:space="preserve">BP WEST COAST PRODUCTS LLC          </t>
  </si>
  <si>
    <t>2017EX00786</t>
  </si>
  <si>
    <t>022301-4-056-2001</t>
  </si>
  <si>
    <t xml:space="preserve">MH Ramsey/Piperberry                </t>
  </si>
  <si>
    <t xml:space="preserve">COYNE MARTIN TRUSTEE                </t>
  </si>
  <si>
    <t xml:space="preserve">RYAN DONALD M                       </t>
  </si>
  <si>
    <t>2017EX00843</t>
  </si>
  <si>
    <t>4053-012-005-0008</t>
  </si>
  <si>
    <t xml:space="preserve">RETAIL &amp; APT                        </t>
  </si>
  <si>
    <t xml:space="preserve">BAY STREET LIFE LLC                 </t>
  </si>
  <si>
    <t xml:space="preserve">216 MIRACLE LLC                     </t>
  </si>
  <si>
    <t>2017EX00926</t>
  </si>
  <si>
    <t>4502-019-022-0009</t>
  </si>
  <si>
    <t xml:space="preserve">Whse - 611 National                 </t>
  </si>
  <si>
    <t xml:space="preserve">THE HUDSON FAMILY REVOCABLE LI      </t>
  </si>
  <si>
    <t xml:space="preserve">HARVEY'S REAL ESTATE LLC            </t>
  </si>
  <si>
    <t>2017EX00937</t>
  </si>
  <si>
    <t>162501-3-099-2004</t>
  </si>
  <si>
    <t xml:space="preserve">Brown Bear Carwash - Silverdale     </t>
  </si>
  <si>
    <t xml:space="preserve">BUESCH JONATHAN P &amp; CECILIA S       </t>
  </si>
  <si>
    <t>2017EX00950</t>
  </si>
  <si>
    <t>172501-4-085-2007</t>
  </si>
  <si>
    <t xml:space="preserve">Bucklin Hill West South Bld.        </t>
  </si>
  <si>
    <t xml:space="preserve">PAULSON J LARRY &amp; JENNY E           </t>
  </si>
  <si>
    <t xml:space="preserve">MOUNTAIN HIGHWAY EAST LLC           </t>
  </si>
  <si>
    <t>2017EX00970</t>
  </si>
  <si>
    <t>172501-1-076-2004</t>
  </si>
  <si>
    <t xml:space="preserve">BL contig w/ 068                    </t>
  </si>
  <si>
    <t xml:space="preserve">BDH HOLDINGS LLC                    </t>
  </si>
  <si>
    <t xml:space="preserve">ACORN AND THE OAK LLC               </t>
  </si>
  <si>
    <t>2017EX00974</t>
  </si>
  <si>
    <t>3976-030-011-0008</t>
  </si>
  <si>
    <t xml:space="preserve">BL-Wtrfrnt-no access                </t>
  </si>
  <si>
    <t xml:space="preserve">MUNRO JAMES M TRUSTEE               </t>
  </si>
  <si>
    <t>2017EX01043</t>
  </si>
  <si>
    <t>172401-1-101-2004</t>
  </si>
  <si>
    <t xml:space="preserve">Retail store &amp; apt                  </t>
  </si>
  <si>
    <t xml:space="preserve">DEELORI ENTERPRISES LLP             </t>
  </si>
  <si>
    <t xml:space="preserve">PAGE CLOID &amp; DARLEEN                </t>
  </si>
  <si>
    <t>2017EX01093</t>
  </si>
  <si>
    <t>292702-3-076-2003</t>
  </si>
  <si>
    <t xml:space="preserve">Mobile office Bond Rd, w of United  </t>
  </si>
  <si>
    <t>2017EX01321</t>
  </si>
  <si>
    <t>362501-2-017-2001</t>
  </si>
  <si>
    <t xml:space="preserve">United Rental                       </t>
  </si>
  <si>
    <t xml:space="preserve">MOBLEY RONALD W &amp; SUSAN H           </t>
  </si>
  <si>
    <t xml:space="preserve">MCBEATH HOLDINGS LLC SERIES AAA     </t>
  </si>
  <si>
    <t>2017EX01333</t>
  </si>
  <si>
    <t xml:space="preserve">160- Hotels and motels        </t>
  </si>
  <si>
    <t>112401-1-028-2000</t>
  </si>
  <si>
    <t xml:space="preserve">Midway Motel                        </t>
  </si>
  <si>
    <t xml:space="preserve">MIDWAY INN CORPORATION              </t>
  </si>
  <si>
    <t xml:space="preserve">MIN &amp; JUNGS BROTHERS INC            </t>
  </si>
  <si>
    <t>2017EX01371</t>
  </si>
  <si>
    <t>4585-000-002-0409</t>
  </si>
  <si>
    <t xml:space="preserve">Pine Ridge Apt Homes                </t>
  </si>
  <si>
    <t xml:space="preserve">MG PINE RIDGE APARTMENTS LP         </t>
  </si>
  <si>
    <t xml:space="preserve">PC PINE RIDGE BREMERTON LLC         </t>
  </si>
  <si>
    <t>2017EX01378</t>
  </si>
  <si>
    <t>3797-014-014-0006</t>
  </si>
  <si>
    <t xml:space="preserve">Triplex Veneta                      </t>
  </si>
  <si>
    <t xml:space="preserve">SORIANO LOUIS &amp; JOAN &amp; SORIANO      </t>
  </si>
  <si>
    <t xml:space="preserve">ADRIAN JAMES &amp; CECILIA              </t>
  </si>
  <si>
    <t>2017EX01380</t>
  </si>
  <si>
    <t>212401-1-128-2007</t>
  </si>
  <si>
    <t xml:space="preserve">Coca-Cola Warehouse                 </t>
  </si>
  <si>
    <t xml:space="preserve">BCI COCA COLA                       </t>
  </si>
  <si>
    <t>WESTERN WASHINGTON COCA COLA BOTTLIN</t>
  </si>
  <si>
    <t>2017EX01529</t>
  </si>
  <si>
    <t>8070-005-019-0006</t>
  </si>
  <si>
    <t xml:space="preserve">LOOFBURROW PROPERTIES LLC           </t>
  </si>
  <si>
    <t xml:space="preserve">MCMAHON TIM &amp; MONTAGNE CYNTHIA      </t>
  </si>
  <si>
    <t>2017EX01568</t>
  </si>
  <si>
    <t xml:space="preserve">501- Apartment condo          </t>
  </si>
  <si>
    <t>8127-000-390-0009</t>
  </si>
  <si>
    <t xml:space="preserve">Ericksen III Multifamily            </t>
  </si>
  <si>
    <t xml:space="preserve">ISLANDER RESIDENTS ASSOC            </t>
  </si>
  <si>
    <t xml:space="preserve">ATTALINA LLC                        </t>
  </si>
  <si>
    <t>2017EX01597</t>
  </si>
  <si>
    <t>8061-003-004-0009</t>
  </si>
  <si>
    <t xml:space="preserve">Winslow Green #3M                   </t>
  </si>
  <si>
    <t xml:space="preserve">RAGIN ANDREA R &amp; ANDREW P           </t>
  </si>
  <si>
    <t>HENRICKS DANNY MIKE WILLIAM &amp; STEPHA</t>
  </si>
  <si>
    <t>2017EX01699</t>
  </si>
  <si>
    <t>292702-3-091-2004</t>
  </si>
  <si>
    <t xml:space="preserve">KENNEDY D MIKE &amp; PATRICIA L         </t>
  </si>
  <si>
    <t xml:space="preserve">GERBER DALE ALLEN &amp; JOY KRISTBORG   </t>
  </si>
  <si>
    <t>2017EX01748</t>
  </si>
  <si>
    <t xml:space="preserve">DEUTSCHE BANK NATIONAL TRUST C      </t>
  </si>
  <si>
    <t xml:space="preserve">MORT BRADY P                        </t>
  </si>
  <si>
    <t>2017EX01796</t>
  </si>
  <si>
    <t>3811-001-015-0004</t>
  </si>
  <si>
    <t xml:space="preserve">INNOVATIVE RENTALS 3 LLC            </t>
  </si>
  <si>
    <t xml:space="preserve">WILLIAMS CHRISTOPHER A              </t>
  </si>
  <si>
    <t>2017EX01888</t>
  </si>
  <si>
    <t>272702-2-045-2005</t>
  </si>
  <si>
    <t xml:space="preserve">Retail &amp; Starbucks on Hwy 104       </t>
  </si>
  <si>
    <t xml:space="preserve">BARBLESS INVESTMENTS KINGSTON       </t>
  </si>
  <si>
    <t xml:space="preserve">THE GEMO CO INC                     </t>
  </si>
  <si>
    <t>2017EX01914</t>
  </si>
  <si>
    <t xml:space="preserve">ANDYS GIFT LLC                      </t>
  </si>
  <si>
    <t xml:space="preserve">423 PACIFIC AVE LLC                 </t>
  </si>
  <si>
    <t>2017EX01915</t>
  </si>
  <si>
    <t xml:space="preserve">CHOP SHARRON                        </t>
  </si>
  <si>
    <t>2017EX01988</t>
  </si>
  <si>
    <t>3718-005-020-0002</t>
  </si>
  <si>
    <t xml:space="preserve">208 5TH ST APTS                     </t>
  </si>
  <si>
    <t xml:space="preserve">GAHLHOFF SONIAL &amp; WHITNEY ROBE      </t>
  </si>
  <si>
    <t xml:space="preserve">BREMERTON RM LLC                    </t>
  </si>
  <si>
    <t>2017EX01993</t>
  </si>
  <si>
    <t>4347-000-005-0009</t>
  </si>
  <si>
    <t xml:space="preserve">KCH PROPERTIES LLC                  </t>
  </si>
  <si>
    <t>2017EX01999</t>
  </si>
  <si>
    <t>232601-1-158-2006</t>
  </si>
  <si>
    <t xml:space="preserve">Sherwin Williams off Hwy 305        </t>
  </si>
  <si>
    <t xml:space="preserve">RPI POULSBO LLC                     </t>
  </si>
  <si>
    <t xml:space="preserve">SCOTT POULSBO PROPERTIES LLC        </t>
  </si>
  <si>
    <t>2017EX02034</t>
  </si>
  <si>
    <t>7002-000-001-0002</t>
  </si>
  <si>
    <t>BL Lot A- storage for Tanks and cars</t>
  </si>
  <si>
    <t xml:space="preserve">BANSEN KEVIN PAUL &amp; BANSEN PAT      </t>
  </si>
  <si>
    <t xml:space="preserve">TGAS REAL ESTATE HOLDINGS LLC       </t>
  </si>
  <si>
    <t>2017EX02144</t>
  </si>
  <si>
    <t>202501-1-092-2009</t>
  </si>
  <si>
    <t xml:space="preserve">SFR Fronting Anderson Hill Rd       </t>
  </si>
  <si>
    <t xml:space="preserve">GOULD LORRAINE                      </t>
  </si>
  <si>
    <t xml:space="preserve">ALDRICH GERALD N &amp; ANN G            </t>
  </si>
  <si>
    <t>2017EX02168</t>
  </si>
  <si>
    <t>162501-4-016-2002</t>
  </si>
  <si>
    <t xml:space="preserve">SFR Bucklin                         </t>
  </si>
  <si>
    <t xml:space="preserve">SHARMA PANKAJ &amp; LAURIE              </t>
  </si>
  <si>
    <t xml:space="preserve">DR TUTTY PLLC                       </t>
  </si>
  <si>
    <t>2017EX02174</t>
  </si>
  <si>
    <t xml:space="preserve">DAVIS LARRY J TRUSTEE               </t>
  </si>
  <si>
    <t xml:space="preserve">HAL PACIFIC PROPERTIES LP           </t>
  </si>
  <si>
    <t>2017EX02198</t>
  </si>
  <si>
    <t xml:space="preserve">PCBP PROPERTIES INC                 </t>
  </si>
  <si>
    <t>2017EX02231</t>
  </si>
  <si>
    <t>082401-3-100-2002</t>
  </si>
  <si>
    <t xml:space="preserve">4 Units @ 2294 Northlake Way NW     </t>
  </si>
  <si>
    <t xml:space="preserve">DUGAN PHIL                          </t>
  </si>
  <si>
    <t xml:space="preserve">WHITCOMB ANDREW &amp; WHITCOMB BENJAMIN </t>
  </si>
  <si>
    <t>2017EX02233</t>
  </si>
  <si>
    <t>3784-001-007-0007</t>
  </si>
  <si>
    <t xml:space="preserve">Park Ave.- Retail Store             </t>
  </si>
  <si>
    <t xml:space="preserve">BLACK HISTORICAL SOCIETY OF KI      </t>
  </si>
  <si>
    <t>2017EX02237</t>
  </si>
  <si>
    <t xml:space="preserve">FEDERAL NATIONAL MORTGAGE ASSO      </t>
  </si>
  <si>
    <t xml:space="preserve">SNYDER GREGORY B &amp; BANKS JESSIE M   </t>
  </si>
  <si>
    <t>2017EX02413</t>
  </si>
  <si>
    <t>162401-4-042-2001</t>
  </si>
  <si>
    <t xml:space="preserve">5 Units @ 952 Lwr. Oyster Bay Dr    </t>
  </si>
  <si>
    <t xml:space="preserve">ORION PROPERTY MANAGEMENT LLC       </t>
  </si>
  <si>
    <t xml:space="preserve">THAI TUYET QUAN &amp; NGUYEN TON N      </t>
  </si>
  <si>
    <t>2017EX02414</t>
  </si>
  <si>
    <t>4449-001-005-0608</t>
  </si>
  <si>
    <t xml:space="preserve">Warehouses and Storage              </t>
  </si>
  <si>
    <t xml:space="preserve">FIVE CS                             </t>
  </si>
  <si>
    <t>NEWBERRY HEIGHTS INDUSTRIAL PARK LLC</t>
  </si>
  <si>
    <t>2017EX02503</t>
  </si>
  <si>
    <t>3797-012-010-0004</t>
  </si>
  <si>
    <t xml:space="preserve">1108 HIGH AVE APTS                  </t>
  </si>
  <si>
    <t xml:space="preserve">WASHINGTON DAVID A &amp; JOANNA S       </t>
  </si>
  <si>
    <t xml:space="preserve">T&amp;G PROPERTIES LLC                  </t>
  </si>
  <si>
    <t>2017EX02519</t>
  </si>
  <si>
    <t>5518-000-006-0008</t>
  </si>
  <si>
    <t xml:space="preserve">Applied Environmental Service       </t>
  </si>
  <si>
    <t xml:space="preserve">WOODRIDGE LOT 6 LLC                 </t>
  </si>
  <si>
    <t xml:space="preserve">GREYSAM INDUSTRIAL SERVICES         </t>
  </si>
  <si>
    <t>2017EX02529</t>
  </si>
  <si>
    <t>8070-001-014-0000</t>
  </si>
  <si>
    <t xml:space="preserve">Poulsbo Yacht Club 48lf covered A14 </t>
  </si>
  <si>
    <t xml:space="preserve">THOMPSON JON W TRUSTEE              </t>
  </si>
  <si>
    <t xml:space="preserve">MUIR DARREN R &amp; LEE A               </t>
  </si>
  <si>
    <t>2017EX02580</t>
  </si>
  <si>
    <t>252501-4-025-2000</t>
  </si>
  <si>
    <t xml:space="preserve">Exempt -VLIHTC- Cottage Bay Apts    </t>
  </si>
  <si>
    <t xml:space="preserve">ROLLING HILLS APTS LP               </t>
  </si>
  <si>
    <t xml:space="preserve">POST COTTAGE BAY LP                 </t>
  </si>
  <si>
    <t>2017EX02678</t>
  </si>
  <si>
    <t>362401-2-097-2005</t>
  </si>
  <si>
    <t xml:space="preserve">Strip Retail Mile Hill              </t>
  </si>
  <si>
    <t xml:space="preserve">LIG PROPERTIES LLC                  </t>
  </si>
  <si>
    <t>2017EX02684</t>
  </si>
  <si>
    <t xml:space="preserve">Chico/Erlands Pt WF-COM       </t>
  </si>
  <si>
    <t>4409-010-004-0004</t>
  </si>
  <si>
    <t xml:space="preserve">Chico Shores Apts                   </t>
  </si>
  <si>
    <t xml:space="preserve">LARSON GREGG &amp; CAROL                </t>
  </si>
  <si>
    <t>2017EX02771</t>
  </si>
  <si>
    <t>4230-002-005-0302</t>
  </si>
  <si>
    <t xml:space="preserve">Former City Hall                    </t>
  </si>
  <si>
    <t xml:space="preserve">CITY OF POULSBO                     </t>
  </si>
  <si>
    <t xml:space="preserve">BLUE NORTH PROPERTY DEVELOPMENT     </t>
  </si>
  <si>
    <t>2017EX02893</t>
  </si>
  <si>
    <t>8207-001-004-0008</t>
  </si>
  <si>
    <t xml:space="preserve">Bldg A Unit 4                       </t>
  </si>
  <si>
    <t xml:space="preserve">SUNDBERG WAYNE &amp; KATHLEEN           </t>
  </si>
  <si>
    <t xml:space="preserve">CARLISLE CURT &amp;                     </t>
  </si>
  <si>
    <t>2017EX02989</t>
  </si>
  <si>
    <t>3719-001-023-0106</t>
  </si>
  <si>
    <t xml:space="preserve">Exempt Portion                      </t>
  </si>
  <si>
    <t xml:space="preserve">GILL HOTELS LLC                     </t>
  </si>
  <si>
    <t>ABUNDANT LIFE FOURSQUARE CHURCH INTE</t>
  </si>
  <si>
    <t>2017EX03016</t>
  </si>
  <si>
    <t>212401-1-005-2005</t>
  </si>
  <si>
    <t xml:space="preserve">All About Transmission &amp; Automotive </t>
  </si>
  <si>
    <t xml:space="preserve">FOX PATTY ANN TRUSTEE &amp;             </t>
  </si>
  <si>
    <t xml:space="preserve">HAXBY INVESTMENTS LLC               </t>
  </si>
  <si>
    <t>2017EX03085</t>
  </si>
  <si>
    <t>8070-003-026-0002</t>
  </si>
  <si>
    <t xml:space="preserve">HULSIZER STEPHEN A &amp; ELSIE J        </t>
  </si>
  <si>
    <t xml:space="preserve">DEITCH DENNIS M &amp; DENISE D          </t>
  </si>
  <si>
    <t>2017EX03095</t>
  </si>
  <si>
    <t xml:space="preserve">SIMMONS WILLIAM E                   </t>
  </si>
  <si>
    <t>2017EX03137</t>
  </si>
  <si>
    <t>8163-013-001-0008</t>
  </si>
  <si>
    <t xml:space="preserve">Kitsap Hangar Leasehold Condo B13-1 </t>
  </si>
  <si>
    <t xml:space="preserve">GRIGER CHARLES R &amp; MARY K           </t>
  </si>
  <si>
    <t xml:space="preserve">FULLER MAURICE &amp; MARIA A            </t>
  </si>
  <si>
    <t>2017EX03139</t>
  </si>
  <si>
    <t>8141-011-001-0009</t>
  </si>
  <si>
    <t xml:space="preserve">Kitsap Hangar Leasehold Condo B11-1 </t>
  </si>
  <si>
    <t xml:space="preserve">AADLAND RANDALL S TRUSTEE           </t>
  </si>
  <si>
    <t>2017EX03157</t>
  </si>
  <si>
    <t>022401-4-005-2002</t>
  </si>
  <si>
    <t xml:space="preserve">SFR on Sylvan                       </t>
  </si>
  <si>
    <t xml:space="preserve">BRADLEY FAMILY PROPERTIES 1 LL      </t>
  </si>
  <si>
    <t xml:space="preserve">SERANTES ABRAM D &amp; JULIE A          </t>
  </si>
  <si>
    <t>2017EX03175</t>
  </si>
  <si>
    <t>3976-030-007-0004</t>
  </si>
  <si>
    <t xml:space="preserve">Kitsap Custom Upholstery            </t>
  </si>
  <si>
    <t xml:space="preserve">ORDAL TRUSTEE SERVICES INC          </t>
  </si>
  <si>
    <t xml:space="preserve">BARROLL LAWRENCE &amp; EASTSIDE FUNDING </t>
  </si>
  <si>
    <t>2017EX03200</t>
  </si>
  <si>
    <t>262502-3-078-2006</t>
  </si>
  <si>
    <t xml:space="preserve">BL Madison 1 blk S Winslow Way      </t>
  </si>
  <si>
    <t xml:space="preserve">LARSEN GARRETT W &amp; DIANNA L         </t>
  </si>
  <si>
    <t xml:space="preserve">CKCB MADISON AVENUE DEVELOPMENT LLC </t>
  </si>
  <si>
    <t>2017EX03500</t>
  </si>
  <si>
    <t>8145-000-015-0101</t>
  </si>
  <si>
    <t xml:space="preserve">The Winslow Condo - Unit F          </t>
  </si>
  <si>
    <t xml:space="preserve">ALZOUGHAMY AHMED                    </t>
  </si>
  <si>
    <t>2017EX03543</t>
  </si>
  <si>
    <t>2017EX03604</t>
  </si>
  <si>
    <t>3718-009-019-0007</t>
  </si>
  <si>
    <t xml:space="preserve">Three Retail Spaces                 </t>
  </si>
  <si>
    <t xml:space="preserve">NAKAGAWA YOKO TRUSTEE &amp; MAEDA       </t>
  </si>
  <si>
    <t xml:space="preserve">MICON NORTHWEST LLC                 </t>
  </si>
  <si>
    <t>2017EX03675</t>
  </si>
  <si>
    <t>092501-3-040-2003</t>
  </si>
  <si>
    <t xml:space="preserve">Garage/Apartment on C zoned land    </t>
  </si>
  <si>
    <t xml:space="preserve">CORNERSTONE ENTERPRISES LLC         </t>
  </si>
  <si>
    <t xml:space="preserve">DANCER HOLDINGS LLC                 </t>
  </si>
  <si>
    <t>2017EX03840</t>
  </si>
  <si>
    <t>132401-2-024-2000</t>
  </si>
  <si>
    <t xml:space="preserve">Sheldon St.- Retail building        </t>
  </si>
  <si>
    <t xml:space="preserve">CRUVER DEVELOPMENT LLC              </t>
  </si>
  <si>
    <t xml:space="preserve">MCKENZIE AVE LLC                    </t>
  </si>
  <si>
    <t>2017EX03871</t>
  </si>
  <si>
    <t>3733-006-016-0007</t>
  </si>
  <si>
    <t xml:space="preserve">DAVIES ROBERT &amp; MEGAN               </t>
  </si>
  <si>
    <t>2017EX03890</t>
  </si>
  <si>
    <t>4650-003-007-0101</t>
  </si>
  <si>
    <t xml:space="preserve">Old Church on Dekalb                </t>
  </si>
  <si>
    <t xml:space="preserve">FREMONT DOCK CO                     </t>
  </si>
  <si>
    <t xml:space="preserve">SMITH SUANNE MARIE                  </t>
  </si>
  <si>
    <t>2017EX03935</t>
  </si>
  <si>
    <t>3810-004-019-0005</t>
  </si>
  <si>
    <t xml:space="preserve">2330 6th St. - 2 story auto repair  </t>
  </si>
  <si>
    <t xml:space="preserve">SCOTT MALVINA &amp; BRESSETTE PAME      </t>
  </si>
  <si>
    <t xml:space="preserve">RPM INTERNATIONAL INC               </t>
  </si>
  <si>
    <t>2017EX03986</t>
  </si>
  <si>
    <t>152601-4-017-2001</t>
  </si>
  <si>
    <t xml:space="preserve">Integrity Roofing                   </t>
  </si>
  <si>
    <t xml:space="preserve">TEMPLETON HORTON WEIBEL PLLC        </t>
  </si>
  <si>
    <t xml:space="preserve">TOC HOLDINGS CO                     </t>
  </si>
  <si>
    <t>2017EX04052</t>
  </si>
  <si>
    <t>122301-2-005-1007</t>
  </si>
  <si>
    <t xml:space="preserve">ESSLINGER RICHARD A &amp; SARA E        </t>
  </si>
  <si>
    <t xml:space="preserve">KOBAYASHI KEIKO                     </t>
  </si>
  <si>
    <t>2017EX04081</t>
  </si>
  <si>
    <t>262702-1-085-2009</t>
  </si>
  <si>
    <t xml:space="preserve">Kingston Mill Retail Center         </t>
  </si>
  <si>
    <t xml:space="preserve">KINGSTON LUMBER SUPPLY CO           </t>
  </si>
  <si>
    <t xml:space="preserve">KINGSTON MILL LLC                   </t>
  </si>
  <si>
    <t>2017EX04143</t>
  </si>
  <si>
    <t>8070-001-027-0005</t>
  </si>
  <si>
    <t xml:space="preserve">LENESS JOHN S &amp; TERRY A             </t>
  </si>
  <si>
    <t xml:space="preserve">ROSENDALE WARREN                    </t>
  </si>
  <si>
    <t>2017EX04185</t>
  </si>
  <si>
    <t>3914-004-002-1007</t>
  </si>
  <si>
    <t xml:space="preserve">Audiologists Northwest              </t>
  </si>
  <si>
    <t xml:space="preserve">KEEN LYNN ELOISE                    </t>
  </si>
  <si>
    <t xml:space="preserve">ARLO HOLDINGS LLC                   </t>
  </si>
  <si>
    <t>2017EX04298</t>
  </si>
  <si>
    <t>8145-000-014-0003</t>
  </si>
  <si>
    <t xml:space="preserve">The Winslow Condo - Unit E          </t>
  </si>
  <si>
    <t xml:space="preserve">WINSLOW I LLC ATTN                  </t>
  </si>
  <si>
    <t xml:space="preserve">CUNNINGHAM THOMAS J &amp; SUELLEN B     </t>
  </si>
  <si>
    <t>2017EX04303</t>
  </si>
  <si>
    <t>8145-000-010-0007</t>
  </si>
  <si>
    <t xml:space="preserve">The Winslow Condo - Unit A          </t>
  </si>
  <si>
    <t xml:space="preserve">THE WINSLOW 1 LLC                   </t>
  </si>
  <si>
    <t>2017EX04318</t>
  </si>
  <si>
    <t>162501-3-087-2008</t>
  </si>
  <si>
    <t xml:space="preserve">Mickelberry Business Park           </t>
  </si>
  <si>
    <t xml:space="preserve">AMD MICKELBERRY LLC                 </t>
  </si>
  <si>
    <t xml:space="preserve">CECJON INVESTMENTS LLC              </t>
  </si>
  <si>
    <t>2017EX04382</t>
  </si>
  <si>
    <t>252401-4-046-2006</t>
  </si>
  <si>
    <t xml:space="preserve">Lucky One Smoke Shop &amp; Conv Store   </t>
  </si>
  <si>
    <t xml:space="preserve">KAUFMAN STEVEN C &amp; YONG M           </t>
  </si>
  <si>
    <t xml:space="preserve">LIM BYUNG HO &amp; JUNG HEE             </t>
  </si>
  <si>
    <t>2017EX04392</t>
  </si>
  <si>
    <t xml:space="preserve">Lofall-COM                    </t>
  </si>
  <si>
    <t>262701-2-019-2009</t>
  </si>
  <si>
    <t xml:space="preserve">Zimmer Construction/Shine Quarry    </t>
  </si>
  <si>
    <t xml:space="preserve">ZIMMER PIT LLC                      </t>
  </si>
  <si>
    <t xml:space="preserve">DUKES INDUSTRIES LLC                </t>
  </si>
  <si>
    <t>2017EX04416</t>
  </si>
  <si>
    <t>3733-005-004-0003</t>
  </si>
  <si>
    <t xml:space="preserve">SFR &amp; Coml Bldg converted to duplex </t>
  </si>
  <si>
    <t xml:space="preserve">CHARLESTON CENTER LLC               </t>
  </si>
  <si>
    <t xml:space="preserve">GRUBER TONY                         </t>
  </si>
  <si>
    <t>2017EX04417</t>
  </si>
  <si>
    <t>3733-005-001-0006</t>
  </si>
  <si>
    <t xml:space="preserve">Dawn Building                       </t>
  </si>
  <si>
    <t xml:space="preserve">GREYWOOD PROPERTIES LLC             </t>
  </si>
  <si>
    <t>2017EX04481</t>
  </si>
  <si>
    <t>3790-014-005-0004</t>
  </si>
  <si>
    <t xml:space="preserve">333 S Charleston Apartments         </t>
  </si>
  <si>
    <t xml:space="preserve">CHARLESTON LANDING LLC              </t>
  </si>
  <si>
    <t xml:space="preserve">CELLITTI CAPITAL LLC                </t>
  </si>
  <si>
    <t>2017EX04553</t>
  </si>
  <si>
    <t xml:space="preserve">SOUTHPLUS LLC                       </t>
  </si>
  <si>
    <t>2017EX04594</t>
  </si>
  <si>
    <t>322401-4-024-2003</t>
  </si>
  <si>
    <t xml:space="preserve">Old Bryman Tech Institute           </t>
  </si>
  <si>
    <t xml:space="preserve">EQUITY FUNDING LLC                  </t>
  </si>
  <si>
    <t xml:space="preserve">PARK 120 INVESTMENTS LLC            </t>
  </si>
  <si>
    <t>2017EX04599</t>
  </si>
  <si>
    <t>3902-001-009-0200</t>
  </si>
  <si>
    <t xml:space="preserve">Manette Plaza                       </t>
  </si>
  <si>
    <t xml:space="preserve">HILLS MANETTE LLC                   </t>
  </si>
  <si>
    <t xml:space="preserve">TRADEWINDS INVESTMENTS LLC          </t>
  </si>
  <si>
    <t>2017EX04606</t>
  </si>
  <si>
    <t>102401-4-121-2001</t>
  </si>
  <si>
    <t xml:space="preserve">4 Units @ 2461 Snyder Avenue        </t>
  </si>
  <si>
    <t xml:space="preserve">SKIFSTAD JASON E &amp; SHIRLEY S        </t>
  </si>
  <si>
    <t xml:space="preserve">NVISION REAL ESTATE SOLUTIONS INC &amp; </t>
  </si>
  <si>
    <t>2017EX04635</t>
  </si>
  <si>
    <t>4650-002-001-0000</t>
  </si>
  <si>
    <t xml:space="preserve">H &amp; K TOO INSURANCE                 </t>
  </si>
  <si>
    <t xml:space="preserve">T&amp;P ENTERPRISES INC                 </t>
  </si>
  <si>
    <t xml:space="preserve">HJK PROPERTIES LLC                  </t>
  </si>
  <si>
    <t>2017EX04712</t>
  </si>
  <si>
    <t>052401-3-068-2005</t>
  </si>
  <si>
    <t xml:space="preserve">19th Hole Tavern                    </t>
  </si>
  <si>
    <t xml:space="preserve">GATES RICHARD N &amp; TAI Y             </t>
  </si>
  <si>
    <t xml:space="preserve">SARGEANT SCOTT W &amp; JESSICA          </t>
  </si>
  <si>
    <t>2017EX04796</t>
  </si>
  <si>
    <t>232601-1-157-2007</t>
  </si>
  <si>
    <t xml:space="preserve">Starbuck's off Hwy 305              </t>
  </si>
  <si>
    <t xml:space="preserve">KIRST MARY JOHNSTON TRUSTEE         </t>
  </si>
  <si>
    <t>2017EX04826</t>
  </si>
  <si>
    <t xml:space="preserve">CUPPLES SHAWN                       </t>
  </si>
  <si>
    <t>2017EX04939</t>
  </si>
  <si>
    <t>022301-4-048-2002</t>
  </si>
  <si>
    <t xml:space="preserve">BL SE corner of Ramsey &amp; Blueberry  </t>
  </si>
  <si>
    <t xml:space="preserve">TANNER RUSSELL &amp; LISE               </t>
  </si>
  <si>
    <t xml:space="preserve">PAYNE DEBRA JO                      </t>
  </si>
  <si>
    <t>2017EX05188</t>
  </si>
  <si>
    <t>8056-002-045-0009</t>
  </si>
  <si>
    <t xml:space="preserve">Winslow Wharf B-45 - 28LF           </t>
  </si>
  <si>
    <t xml:space="preserve">BROWNING VENTURES LLC               </t>
  </si>
  <si>
    <t xml:space="preserve">HEBARD DON TRUSTEE                  </t>
  </si>
  <si>
    <t>2017EX05242</t>
  </si>
  <si>
    <t xml:space="preserve">BAYNE KENNETH                       </t>
  </si>
  <si>
    <t>2017EX05351</t>
  </si>
  <si>
    <t>3733-007-027-0002</t>
  </si>
  <si>
    <t xml:space="preserve">316 N Callow Retail Storefront      </t>
  </si>
  <si>
    <t xml:space="preserve">BREMERTON INVESTMENT GROUP LLC      </t>
  </si>
  <si>
    <t xml:space="preserve">MCCALMAN MARK                       </t>
  </si>
  <si>
    <t>2017EX05396</t>
  </si>
  <si>
    <t>102601-4-029-2002</t>
  </si>
  <si>
    <t xml:space="preserve">AM PM CSWG Carwash                  </t>
  </si>
  <si>
    <t xml:space="preserve">ALTA BROOKE LLC                     </t>
  </si>
  <si>
    <t>2017EX05417</t>
  </si>
  <si>
    <t>4546-003-007-0000</t>
  </si>
  <si>
    <t xml:space="preserve">2-Duplex on Roosevelt Blvd          </t>
  </si>
  <si>
    <t xml:space="preserve">FRAZIER JACK WILLIAM &amp; CHARLEN      </t>
  </si>
  <si>
    <t xml:space="preserve">KEOVONGPHET KAY                     </t>
  </si>
  <si>
    <t>2017EX05442</t>
  </si>
  <si>
    <t>262502-2-082-2002</t>
  </si>
  <si>
    <t xml:space="preserve">Seven Fifty Ericksen                </t>
  </si>
  <si>
    <t xml:space="preserve">J &amp; M ISLAND PROPERTIES LLC         </t>
  </si>
  <si>
    <t xml:space="preserve">750 ERICKSEN LLC                    </t>
  </si>
  <si>
    <t>2017EX05495</t>
  </si>
  <si>
    <t>202401-1-005-2006</t>
  </si>
  <si>
    <t xml:space="preserve">BL- Industrial on Werner            </t>
  </si>
  <si>
    <t xml:space="preserve">CROPSEY LLC                         </t>
  </si>
  <si>
    <t xml:space="preserve">KYLIN NW PROPERTIES LLC             </t>
  </si>
  <si>
    <t>2017EX05551</t>
  </si>
  <si>
    <t>8056-001-011-0001</t>
  </si>
  <si>
    <t xml:space="preserve">Winslow Wharf A11 - 42lf            </t>
  </si>
  <si>
    <t xml:space="preserve">RICE JAMES C &amp; CHERYL N TRUSTE      </t>
  </si>
  <si>
    <t>SAVETT BRUCE DAVID &amp; SUSAN MALLARD T</t>
  </si>
  <si>
    <t>2017EX05576</t>
  </si>
  <si>
    <t>022301-2-119-2000</t>
  </si>
  <si>
    <t xml:space="preserve">Fourplex 1 Lot Back From Lippert    </t>
  </si>
  <si>
    <t xml:space="preserve">TOMICK LLC                          </t>
  </si>
  <si>
    <t xml:space="preserve">GOLDEN DANIEL                       </t>
  </si>
  <si>
    <t>2017EX05649</t>
  </si>
  <si>
    <t>3967-002-012-0007</t>
  </si>
  <si>
    <t xml:space="preserve">Bare land Cherry Ave                </t>
  </si>
  <si>
    <t xml:space="preserve">BARROLL MARGARET K TRUSTEE          </t>
  </si>
  <si>
    <t>2017EX05705</t>
  </si>
  <si>
    <t>3795-003-001-0204</t>
  </si>
  <si>
    <t xml:space="preserve">Triplex on Chester                  </t>
  </si>
  <si>
    <t xml:space="preserve">NORTH STAR TRUSTEE LLC              </t>
  </si>
  <si>
    <t>MANGAL MANISH &amp; EASTSIDE FUNDING LLC</t>
  </si>
  <si>
    <t>2017EX05709</t>
  </si>
  <si>
    <t>252501-3-077-2009</t>
  </si>
  <si>
    <t xml:space="preserve">Lot A Taco Bell North portion       </t>
  </si>
  <si>
    <t xml:space="preserve">B M LLC                             </t>
  </si>
  <si>
    <t xml:space="preserve">MILE HILL INVESTORS LLC             </t>
  </si>
  <si>
    <t>2017EX05791</t>
  </si>
  <si>
    <t>272502-4-102-2003</t>
  </si>
  <si>
    <t xml:space="preserve">SFR                                 </t>
  </si>
  <si>
    <t xml:space="preserve">PALMETER EARL ALLEN &amp; JANET         </t>
  </si>
  <si>
    <t xml:space="preserve">WOOD ERIK XAVIER &amp;                  </t>
  </si>
  <si>
    <t>2017EX05797</t>
  </si>
  <si>
    <t>312402-4-001-2000</t>
  </si>
  <si>
    <t xml:space="preserve">Orchard Park Apts                   </t>
  </si>
  <si>
    <t xml:space="preserve">ORCHARD PARK INVESTORS LLC &amp; O      </t>
  </si>
  <si>
    <t>HARPER PROPERTY MGMT &amp; MAINTENANCE L</t>
  </si>
  <si>
    <t>2017EX05849</t>
  </si>
  <si>
    <t>8103-000-034-0009</t>
  </si>
  <si>
    <t xml:space="preserve">T Hangar                            </t>
  </si>
  <si>
    <t xml:space="preserve">PALMER STAN B &amp; CARLA               </t>
  </si>
  <si>
    <t xml:space="preserve">WIFF ROBERT A                       </t>
  </si>
  <si>
    <t>2017EX05853</t>
  </si>
  <si>
    <t>5513-000-001-0008</t>
  </si>
  <si>
    <t xml:space="preserve">J &amp; M Office Suiltes                </t>
  </si>
  <si>
    <t xml:space="preserve">BOOTHBY EDWIN L &amp; ARLEEN F          </t>
  </si>
  <si>
    <t xml:space="preserve">J &amp; M OFFICE SUITES LLC             </t>
  </si>
  <si>
    <t>2017EX05884</t>
  </si>
  <si>
    <t>022301-2-134-2001</t>
  </si>
  <si>
    <t xml:space="preserve">Fourplex Fronts Lippert             </t>
  </si>
  <si>
    <t xml:space="preserve">HUNT RICHARD S                      </t>
  </si>
  <si>
    <t>2017EX05888</t>
  </si>
  <si>
    <t>282702-1-005-2004</t>
  </si>
  <si>
    <t xml:space="preserve">Kountry Korner Store                </t>
  </si>
  <si>
    <t xml:space="preserve">SABUJA LLC                          </t>
  </si>
  <si>
    <t>THE NOO-KAYET DEVELOPMENT CORPORATIO</t>
  </si>
  <si>
    <t>2017EX06089</t>
  </si>
  <si>
    <t>3713-002-002-0006</t>
  </si>
  <si>
    <t xml:space="preserve">646 Washington Apts                 </t>
  </si>
  <si>
    <t xml:space="preserve">FAMILY TREE INVESTMENTS LLC         </t>
  </si>
  <si>
    <t xml:space="preserve">SIENA HOLDINGS LLC                  </t>
  </si>
  <si>
    <t>2017EX06173</t>
  </si>
  <si>
    <t>232501-4-022-2005</t>
  </si>
  <si>
    <t xml:space="preserve">Garage on Hwy 303                   </t>
  </si>
  <si>
    <t xml:space="preserve">JENNINGS PAMELA ANN &amp; DOUGLAS       </t>
  </si>
  <si>
    <t xml:space="preserve">EXTRA ROOM SELF STORAGE             </t>
  </si>
  <si>
    <t>2017EX06211</t>
  </si>
  <si>
    <t xml:space="preserve">REGAN BRIAN J                       </t>
  </si>
  <si>
    <t>2017EX06240</t>
  </si>
  <si>
    <t>3718-017-021-0006</t>
  </si>
  <si>
    <t>Silver Mtn Const LLCWeldin Const LLC</t>
  </si>
  <si>
    <t xml:space="preserve">BAJAJ &amp; MORE INVESTMENTS LLC        </t>
  </si>
  <si>
    <t xml:space="preserve">BCH-1 LLC                           </t>
  </si>
  <si>
    <t>2017EX06309</t>
  </si>
  <si>
    <t>8195-000-005-0003</t>
  </si>
  <si>
    <t xml:space="preserve">Kitsap Aikido                       </t>
  </si>
  <si>
    <t xml:space="preserve">LANG ANDERSON INVESTMENTS LLC       </t>
  </si>
  <si>
    <t xml:space="preserve">BOVELA FIVE LLC                     </t>
  </si>
  <si>
    <t>2017EX06328</t>
  </si>
  <si>
    <t>4059-002-009-0009</t>
  </si>
  <si>
    <t xml:space="preserve">Old Law Ofc Sidney &amp; Division       </t>
  </si>
  <si>
    <t xml:space="preserve">REESE STEVEN C &amp; CAROL M &amp;          </t>
  </si>
  <si>
    <t xml:space="preserve">WILLOW HOLDINGS LLC                 </t>
  </si>
  <si>
    <t>2017EX06411</t>
  </si>
  <si>
    <t>162501-3-072-2005</t>
  </si>
  <si>
    <t xml:space="preserve">Oxford Inn                          </t>
  </si>
  <si>
    <t xml:space="preserve">CURT BANEY INC                      </t>
  </si>
  <si>
    <t xml:space="preserve">JC INN INC                          </t>
  </si>
  <si>
    <t>2017EX06435</t>
  </si>
  <si>
    <t>4575-000-019-0105</t>
  </si>
  <si>
    <t xml:space="preserve">A &amp; B Barber Shop                   </t>
  </si>
  <si>
    <t xml:space="preserve">CAPATAN CATHERINE L                 </t>
  </si>
  <si>
    <t xml:space="preserve">QUINONES JOSEPH BRAULIO             </t>
  </si>
  <si>
    <t>2017EX06523</t>
  </si>
  <si>
    <t>012301-3-087-2007</t>
  </si>
  <si>
    <t xml:space="preserve">Sudstar Carwash                     </t>
  </si>
  <si>
    <t xml:space="preserve">HARBORSTONE CREDIT UNION            </t>
  </si>
  <si>
    <t xml:space="preserve">PORT ORCHARD CW LLC                 </t>
  </si>
  <si>
    <t>2017EX06694</t>
  </si>
  <si>
    <t>162501-3-124-2003</t>
  </si>
  <si>
    <t xml:space="preserve">Levin Medical Office                </t>
  </si>
  <si>
    <t xml:space="preserve">MEDICAL PARTNERS LLC                </t>
  </si>
  <si>
    <t xml:space="preserve">HCII-9800 LEVIN ROAD NW LLC         </t>
  </si>
  <si>
    <t>2017EX06731</t>
  </si>
  <si>
    <t xml:space="preserve">ROXY BREMERTON                      </t>
  </si>
  <si>
    <t xml:space="preserve">SOUND WEST QUINCY SQUARE LLC        </t>
  </si>
  <si>
    <t>2017EX06811</t>
  </si>
  <si>
    <t>3732-014-008-0002</t>
  </si>
  <si>
    <t xml:space="preserve">4-Units @ 320 S Lafayette Ave       </t>
  </si>
  <si>
    <t xml:space="preserve">SAMUELS TIMOTHY E                   </t>
  </si>
  <si>
    <t xml:space="preserve">MINASYAN DAVID &amp; ADDINGTON NICOLE   </t>
  </si>
  <si>
    <t>2017EX06814</t>
  </si>
  <si>
    <t>3719-002-048-0402</t>
  </si>
  <si>
    <t xml:space="preserve">Inspirus Credit Union               </t>
  </si>
  <si>
    <t xml:space="preserve">J D SULLIVAN INVESTMENTS LLC        </t>
  </si>
  <si>
    <t xml:space="preserve">INSPIRUS CREDIT UNION               </t>
  </si>
  <si>
    <t>2017EX06882</t>
  </si>
  <si>
    <t>322401-4-075-2001</t>
  </si>
  <si>
    <t xml:space="preserve">SFR on Hwy 3 W                      </t>
  </si>
  <si>
    <t xml:space="preserve">TOLLEFSON RONALD L JR ET AL         </t>
  </si>
  <si>
    <t xml:space="preserve">HOCEK ANGELICA PAT                  </t>
  </si>
  <si>
    <t>2017EX06886</t>
  </si>
  <si>
    <t>022301-4-074-2009</t>
  </si>
  <si>
    <t xml:space="preserve">ABC Supply Inc.                     </t>
  </si>
  <si>
    <t xml:space="preserve">PIPERBERRY LLC                      </t>
  </si>
  <si>
    <t>2017EX06913</t>
  </si>
  <si>
    <t>5490-000-193-0003</t>
  </si>
  <si>
    <t xml:space="preserve">19325 GADWALL LANE LLC              </t>
  </si>
  <si>
    <t xml:space="preserve">PHAM THINH &amp; DO UYEN THI PHAM       </t>
  </si>
  <si>
    <t>2017EX06981</t>
  </si>
  <si>
    <t>3967-001-007-0006</t>
  </si>
  <si>
    <t xml:space="preserve">SFR on Cherry                       </t>
  </si>
  <si>
    <t xml:space="preserve">SAMSON CHARLES J ESTATE             </t>
  </si>
  <si>
    <t xml:space="preserve">FOSTER ALLEN J &amp; LAUREE J           </t>
  </si>
  <si>
    <t>2017EX06984</t>
  </si>
  <si>
    <t>272502-1-014-2006</t>
  </si>
  <si>
    <t xml:space="preserve">Elizabeth Criswell, DDS, PLLC       </t>
  </si>
  <si>
    <t xml:space="preserve">LECLAIR VICKY &amp; TIMOTHY             </t>
  </si>
  <si>
    <t xml:space="preserve">KNIGHT THOMAS M &amp; JOYCE C           </t>
  </si>
  <si>
    <t>2017EX07084</t>
  </si>
  <si>
    <t>3718-007-036-0000</t>
  </si>
  <si>
    <t xml:space="preserve">Former Lents - Office               </t>
  </si>
  <si>
    <t xml:space="preserve">ANDY'S GIFT LLC                     </t>
  </si>
  <si>
    <t>2017EX07125</t>
  </si>
  <si>
    <t xml:space="preserve">550- Retail, automotive       </t>
  </si>
  <si>
    <t>322401-4-108-2002</t>
  </si>
  <si>
    <t xml:space="preserve">Peninsual Pre-Owned - Gorst         </t>
  </si>
  <si>
    <t xml:space="preserve">KITSAP COUNTY ADMIN SERVS           </t>
  </si>
  <si>
    <t xml:space="preserve">DIONAS ENTERPRISES LLC              </t>
  </si>
  <si>
    <t>2017EX07164</t>
  </si>
  <si>
    <t xml:space="preserve">WICKSTROM VANCE K                   </t>
  </si>
  <si>
    <t xml:space="preserve">HANSON JOEL &amp; SWAIN EMILY           </t>
  </si>
  <si>
    <t>2017EX07185</t>
  </si>
  <si>
    <t>282501-1-036-2000</t>
  </si>
  <si>
    <t xml:space="preserve">Discovery Depot Montessori          </t>
  </si>
  <si>
    <t xml:space="preserve">FALCONER INVESTMENTS LLC            </t>
  </si>
  <si>
    <t xml:space="preserve">SERRANO SILVERDALE LLC              </t>
  </si>
  <si>
    <t>2017EX07268</t>
  </si>
  <si>
    <t>4601-000-024-0007</t>
  </si>
  <si>
    <t xml:space="preserve">China West                          </t>
  </si>
  <si>
    <t xml:space="preserve">LIN BJR LLC                         </t>
  </si>
  <si>
    <t xml:space="preserve">PJ GARDEN LLC                       </t>
  </si>
  <si>
    <t>2017EX07303</t>
  </si>
  <si>
    <t>8061-002-002-0003</t>
  </si>
  <si>
    <t xml:space="preserve">Winslow Green #2G                   </t>
  </si>
  <si>
    <t>A - Assignment of Contract</t>
  </si>
  <si>
    <t xml:space="preserve">KARAKUS OSMAN                       </t>
  </si>
  <si>
    <t xml:space="preserve">SOLAK ADEM &amp; BIRQUL                 </t>
  </si>
  <si>
    <t>2017EX07311</t>
  </si>
  <si>
    <t>3785-009-011-0003</t>
  </si>
  <si>
    <t xml:space="preserve">VanZee Apts 1628 Burwell Ave        </t>
  </si>
  <si>
    <t xml:space="preserve">BOHNEN LEANNE                       </t>
  </si>
  <si>
    <t xml:space="preserve">BURWELL APARTMENTS LLC              </t>
  </si>
  <si>
    <t>2017EX07319</t>
  </si>
  <si>
    <t>022301-1-073-2006</t>
  </si>
  <si>
    <t xml:space="preserve">Tremont Place Lot B Retail Strips   </t>
  </si>
  <si>
    <t xml:space="preserve">T &amp; A LLC                           </t>
  </si>
  <si>
    <t xml:space="preserve">KIYO LLC                            </t>
  </si>
  <si>
    <t>2017EX07363</t>
  </si>
  <si>
    <t>4409-009-001-0009</t>
  </si>
  <si>
    <t xml:space="preserve">BL- Chico Way and Meridith St       </t>
  </si>
  <si>
    <t xml:space="preserve">TUCKER DONALD H IND &amp; TRUSTEE       </t>
  </si>
  <si>
    <t xml:space="preserve">DIEM ROBERT &amp; MONI KARYN            </t>
  </si>
  <si>
    <t>2017EX07365</t>
  </si>
  <si>
    <t>4063-001-002-0101</t>
  </si>
  <si>
    <t>Comfort Inn Express-Bay St Port Orch</t>
  </si>
  <si>
    <t xml:space="preserve">YOUNG &amp; NAM INC                     </t>
  </si>
  <si>
    <t>2017EX07515</t>
  </si>
  <si>
    <t>172501-3-013-2006</t>
  </si>
  <si>
    <t xml:space="preserve">Westsound Orthopedics               </t>
  </si>
  <si>
    <t xml:space="preserve">BARE BONES LLC                      </t>
  </si>
  <si>
    <t xml:space="preserve">HCII-4409 NW ANDERSON HILL ROAD LLC </t>
  </si>
  <si>
    <t>2017EX07623</t>
  </si>
  <si>
    <t>162401-4-075-2001</t>
  </si>
  <si>
    <t xml:space="preserve">SFR Kitsap Way                      </t>
  </si>
  <si>
    <t xml:space="preserve">HODGES ERIC J &amp; PATRICIA A          </t>
  </si>
  <si>
    <t xml:space="preserve">MADISON CURTIS A                    </t>
  </si>
  <si>
    <t>2017EX07709</t>
  </si>
  <si>
    <t>3712-003-001-0006</t>
  </si>
  <si>
    <t xml:space="preserve">632 WASHINGTON APTS                 </t>
  </si>
  <si>
    <t xml:space="preserve">SOUND VIEW APARTMENTS LLC           </t>
  </si>
  <si>
    <t xml:space="preserve">PORT WASHINGTON NARROWS LLC         </t>
  </si>
  <si>
    <t>2017EX07713</t>
  </si>
  <si>
    <t>4367-005-003-0203</t>
  </si>
  <si>
    <t xml:space="preserve">Lemolo Market                       </t>
  </si>
  <si>
    <t xml:space="preserve">KIM DONALD S &amp; KATHERINE A          </t>
  </si>
  <si>
    <t xml:space="preserve">PEDERSEN ROBERT B &amp; CAROLEE JO      </t>
  </si>
  <si>
    <t>2017EX07715</t>
  </si>
  <si>
    <t>8070-001-029-0003</t>
  </si>
  <si>
    <t xml:space="preserve">PHILLIPS C HAMPTON JR &amp; CINDY       </t>
  </si>
  <si>
    <t xml:space="preserve">FITZ STEVE &amp; MARY                   </t>
  </si>
  <si>
    <t>2017EX07718</t>
  </si>
  <si>
    <t>8141-012-003-0005</t>
  </si>
  <si>
    <t xml:space="preserve">Kitsap Hangar Leasehold Condo B12-3 </t>
  </si>
  <si>
    <t xml:space="preserve">BUSCHMAN DENNIS L                   </t>
  </si>
  <si>
    <t xml:space="preserve">CCM GLOBAL LLC                      </t>
  </si>
  <si>
    <t>2017EX07786</t>
  </si>
  <si>
    <t>272502-1-013-2007</t>
  </si>
  <si>
    <t xml:space="preserve">Dahlia Center &amp; Malone pediatrics   </t>
  </si>
  <si>
    <t xml:space="preserve">BURKE BARBARA                       </t>
  </si>
  <si>
    <t xml:space="preserve">MATT 19:14 LLC                      </t>
  </si>
  <si>
    <t>2017EX07801</t>
  </si>
  <si>
    <t>4757-008-001-0108</t>
  </si>
  <si>
    <t xml:space="preserve">Puget Fence                         </t>
  </si>
  <si>
    <t xml:space="preserve">STOICAN JON MICHAEL PERSONAL R      </t>
  </si>
  <si>
    <t xml:space="preserve">MCGRAW DUSTY T &amp; STOICAN BENJAMIN E </t>
  </si>
  <si>
    <t>2017EX07814</t>
  </si>
  <si>
    <t>5106-000-003-0009</t>
  </si>
  <si>
    <t>Diplomat Apartments (former Outlook)</t>
  </si>
  <si>
    <t xml:space="preserve">FW OUTLOOK APARTMENTS LLC           </t>
  </si>
  <si>
    <t xml:space="preserve">FPA5 OUTLOOK LLC                    </t>
  </si>
  <si>
    <t>2017EX07820</t>
  </si>
  <si>
    <t>2017EX07838</t>
  </si>
  <si>
    <t>022301-1-074-2005</t>
  </si>
  <si>
    <t xml:space="preserve">Lot C &amp; Drainage System-Shop        </t>
  </si>
  <si>
    <t xml:space="preserve">TEMPLETON ANN L &amp; TEMPLETON AN      </t>
  </si>
  <si>
    <t>2017EX07839</t>
  </si>
  <si>
    <t>362401-2-050-2000</t>
  </si>
  <si>
    <t xml:space="preserve">High Point Shopping Ctr             </t>
  </si>
  <si>
    <t xml:space="preserve">ING ING &amp; FOON LLP                  </t>
  </si>
  <si>
    <t xml:space="preserve">YUEN CHUIE LAN                      </t>
  </si>
  <si>
    <t>2017EX07840</t>
  </si>
  <si>
    <t xml:space="preserve">SIMPLEHOUSING PORT ORCHARD LLC      </t>
  </si>
  <si>
    <t>2017EX07898</t>
  </si>
  <si>
    <t>312402-2-020-2001</t>
  </si>
  <si>
    <t xml:space="preserve">Taco Bell Mile Hill                 </t>
  </si>
  <si>
    <t xml:space="preserve">CONVEY INVESTMENTS CALIFORNIA       </t>
  </si>
  <si>
    <t xml:space="preserve">SKTTL VENTURES LLC                  </t>
  </si>
  <si>
    <t>2017EX07972</t>
  </si>
  <si>
    <t>082401-4-035-2000</t>
  </si>
  <si>
    <t xml:space="preserve">Strip retail used as church         </t>
  </si>
  <si>
    <t xml:space="preserve">LUGAR TERRENCE S &amp; JACQUELINE       </t>
  </si>
  <si>
    <t>THE FIRST BAPTIST CHURCH OF BREMERTO</t>
  </si>
  <si>
    <t>2017EX08182</t>
  </si>
  <si>
    <t>3719-001-026-0400</t>
  </si>
  <si>
    <t xml:space="preserve">SFR on Crawford off Kitsap Way      </t>
  </si>
  <si>
    <t xml:space="preserve">ROMINE JOHN &amp; EDNA                  </t>
  </si>
  <si>
    <t xml:space="preserve">HYSELL SETH &amp; JAMIE                 </t>
  </si>
  <si>
    <t>2017EX08221</t>
  </si>
  <si>
    <t>4650-006-007-0005</t>
  </si>
  <si>
    <t xml:space="preserve">Kitsap Law Center                   </t>
  </si>
  <si>
    <t xml:space="preserve">CRAWFORD MCGILLIARD PETERSTON       </t>
  </si>
  <si>
    <t xml:space="preserve">KLC MANAGEMENT LLC                  </t>
  </si>
  <si>
    <t>2017EX08288</t>
  </si>
  <si>
    <t>262501-1-021-2009</t>
  </si>
  <si>
    <t xml:space="preserve">Countryside MHP                     </t>
  </si>
  <si>
    <t xml:space="preserve">KIM FAMILY LLC &amp; AHNS HOLDINGS      </t>
  </si>
  <si>
    <t xml:space="preserve">AHNS HOLDINGS LLC                   </t>
  </si>
  <si>
    <t>2017EX08573</t>
  </si>
  <si>
    <t>3718-009-021-0003</t>
  </si>
  <si>
    <t xml:space="preserve">Ichizen Sushi 1st St.               </t>
  </si>
  <si>
    <t xml:space="preserve">IGLOI KARL K &amp; KIRI M               </t>
  </si>
  <si>
    <t xml:space="preserve">TAESUNG LLC                         </t>
  </si>
  <si>
    <t>2017EX08658</t>
  </si>
  <si>
    <t xml:space="preserve">INNOVATIVE RENTALS 2 LLC            </t>
  </si>
  <si>
    <t xml:space="preserve">SUNSHINE VENTURES LLC               </t>
  </si>
  <si>
    <t>2017EX08701</t>
  </si>
  <si>
    <t>5490-000-194-0002</t>
  </si>
  <si>
    <t xml:space="preserve">DOUGHERTY MAUREEN MARIE             </t>
  </si>
  <si>
    <t xml:space="preserve">BAKER DYLAN C                       </t>
  </si>
  <si>
    <t>2017EX08749</t>
  </si>
  <si>
    <t>172501-4-055-2003</t>
  </si>
  <si>
    <t xml:space="preserve">SFR on Dahl Road                    </t>
  </si>
  <si>
    <t xml:space="preserve">WINDY POINT PROPERTIES LLC          </t>
  </si>
  <si>
    <t xml:space="preserve">MCGRAW ALAN &amp; TAMERA A              </t>
  </si>
  <si>
    <t>2017EX08754</t>
  </si>
  <si>
    <t xml:space="preserve">BARBLESS INVESTMENTS LLC            </t>
  </si>
  <si>
    <t>2017EX08760</t>
  </si>
  <si>
    <t>362401-3-010-2007</t>
  </si>
  <si>
    <t xml:space="preserve">La Chang Property                   </t>
  </si>
  <si>
    <t xml:space="preserve">LA CHANG PROPERTIES LLC             </t>
  </si>
  <si>
    <t>2017EX08780</t>
  </si>
  <si>
    <t>012301-4-092-2008</t>
  </si>
  <si>
    <t xml:space="preserve">76 Food Market - Jackson &amp; Sedgwick </t>
  </si>
  <si>
    <t xml:space="preserve">FRIENDLY FUELS INC                  </t>
  </si>
  <si>
    <t xml:space="preserve">EVERGREEN NORTH W LLC               </t>
  </si>
  <si>
    <t>2017EX08894</t>
  </si>
  <si>
    <t>052401-3-029-2003</t>
  </si>
  <si>
    <t xml:space="preserve">LEMIEUX DEBRA L                     </t>
  </si>
  <si>
    <t xml:space="preserve">FEWINS ERICA                        </t>
  </si>
  <si>
    <t>2017EX08896</t>
  </si>
  <si>
    <t>212501-1-058-2000</t>
  </si>
  <si>
    <t xml:space="preserve">SFR on Mickelberry                  </t>
  </si>
  <si>
    <t xml:space="preserve">RCCH LLC                            </t>
  </si>
  <si>
    <t xml:space="preserve">COONS DAVID &amp; SHERIE                </t>
  </si>
  <si>
    <t>2017EX08897</t>
  </si>
  <si>
    <t xml:space="preserve">BUTTON BAY LLC                      </t>
  </si>
  <si>
    <t>2017EX08898</t>
  </si>
  <si>
    <t xml:space="preserve">A &amp; J VENTURES 1 LLC                </t>
  </si>
  <si>
    <t>2017EX08948</t>
  </si>
  <si>
    <t>262502-2-091-2001</t>
  </si>
  <si>
    <t xml:space="preserve">Island Country Inn                  </t>
  </si>
  <si>
    <t xml:space="preserve">BI--HS-1                      </t>
  </si>
  <si>
    <t xml:space="preserve">LANDMARK HOTELS INC                 </t>
  </si>
  <si>
    <t xml:space="preserve">SHR HOLDINGS WASHINGTON LLC         </t>
  </si>
  <si>
    <t>2017EX08985</t>
  </si>
  <si>
    <t xml:space="preserve">LARGE ERIC A &amp; ROCK SHANNON LYNN    </t>
  </si>
  <si>
    <t>2017EX08987</t>
  </si>
  <si>
    <t xml:space="preserve">WOOD EDMUND J                       </t>
  </si>
  <si>
    <t xml:space="preserve">VALLESTAD HOLDINGS LLC              </t>
  </si>
  <si>
    <t>2017EX09030</t>
  </si>
  <si>
    <t>3966-003-001-1106</t>
  </si>
  <si>
    <t>Olympic Diagnostic Radiology Facilit</t>
  </si>
  <si>
    <t xml:space="preserve">WESTSOUND PROFESSIONAL PROPERT      </t>
  </si>
  <si>
    <t>ELLIOTT BAY HEALTHCARE REALTY II LLC</t>
  </si>
  <si>
    <t>2017EX09087</t>
  </si>
  <si>
    <t>112601-3-011-2003</t>
  </si>
  <si>
    <t xml:space="preserve">Valley Nursery                      </t>
  </si>
  <si>
    <t xml:space="preserve">ARNOLD BEN E                        </t>
  </si>
  <si>
    <t xml:space="preserve">VALLEY NURSERY INC                  </t>
  </si>
  <si>
    <t>2017EX09170</t>
  </si>
  <si>
    <t>8103-000-024-0001</t>
  </si>
  <si>
    <t xml:space="preserve">GRUBER MARY A                       </t>
  </si>
  <si>
    <t xml:space="preserve">JOHNSON MARK S &amp; WENDIE I           </t>
  </si>
  <si>
    <t>2017EX09181</t>
  </si>
  <si>
    <t>8070-002-041-0005</t>
  </si>
  <si>
    <t xml:space="preserve">KOHLER JANICE K                     </t>
  </si>
  <si>
    <t xml:space="preserve">MARKLUND LEONARD H &amp; GAYE L         </t>
  </si>
  <si>
    <t>2017EX09300</t>
  </si>
  <si>
    <t>4056-001-021-0008</t>
  </si>
  <si>
    <t xml:space="preserve">Triplex on Sherman Ave              </t>
  </si>
  <si>
    <t xml:space="preserve">HOUSTON TERRY L &amp; DONNA J           </t>
  </si>
  <si>
    <t xml:space="preserve">JONEZ THOMAS &amp; RICHES MICHAEL       </t>
  </si>
  <si>
    <t>2017EX09311</t>
  </si>
  <si>
    <t>8103-000-027-0008</t>
  </si>
  <si>
    <t xml:space="preserve">BRADLEY RICHARD C &amp; BARBARA A       </t>
  </si>
  <si>
    <t xml:space="preserve">ERLANDSEN ALAN                      </t>
  </si>
  <si>
    <t>2017EX09321</t>
  </si>
  <si>
    <t>8070-003-012-0008</t>
  </si>
  <si>
    <t xml:space="preserve">GRINDROD MARK &amp; MARILYN             </t>
  </si>
  <si>
    <t xml:space="preserve">YOUNG GLENN C                       </t>
  </si>
  <si>
    <t>2017EX09417</t>
  </si>
  <si>
    <t>302602-3-003-2009</t>
  </si>
  <si>
    <t xml:space="preserve">Northwest College of Art            </t>
  </si>
  <si>
    <t xml:space="preserve">FREEMAN INVESTORS LLC               </t>
  </si>
  <si>
    <t xml:space="preserve">SUQUAMISH INDIAN TRIBE OF THE PORT  </t>
  </si>
  <si>
    <t>2017EX09433</t>
  </si>
  <si>
    <t>8103-000-021-0004</t>
  </si>
  <si>
    <t xml:space="preserve">RENQUIST GEORGE &amp; CHARLENE          </t>
  </si>
  <si>
    <t xml:space="preserve">MONBERG JAMES C                     </t>
  </si>
  <si>
    <t>2017EX09545</t>
  </si>
  <si>
    <t>4546-007-016-0000</t>
  </si>
  <si>
    <t xml:space="preserve">BL fenced car stg, S ptn hillside   </t>
  </si>
  <si>
    <t xml:space="preserve">HASELWOOD AUTOMOBILE PROPERTY       </t>
  </si>
  <si>
    <t xml:space="preserve">RINGO LLC                           </t>
  </si>
  <si>
    <t>2017EX09546</t>
  </si>
  <si>
    <t>4546-004-001-0103</t>
  </si>
  <si>
    <t xml:space="preserve">Dealership paved &amp; gravel parking   </t>
  </si>
  <si>
    <t xml:space="preserve">CHRYSLER AUTOMOBILE PROPERTY L      </t>
  </si>
  <si>
    <t>2017EX09554</t>
  </si>
  <si>
    <t>3914-002-004-0001</t>
  </si>
  <si>
    <t xml:space="preserve">Thunderbird Apts                    </t>
  </si>
  <si>
    <t xml:space="preserve">GREEN LINDA S &amp; VERHELST RICHA      </t>
  </si>
  <si>
    <t xml:space="preserve">SOUNDVIEW IR LLC                    </t>
  </si>
  <si>
    <t>2017EX09565</t>
  </si>
  <si>
    <t>172501-1-018-2005</t>
  </si>
  <si>
    <t xml:space="preserve">Office/Warehouse off Frontier Rd.   </t>
  </si>
  <si>
    <t xml:space="preserve">HOLMES BENJAMIN P &amp; CINDY L         </t>
  </si>
  <si>
    <t xml:space="preserve">SABELHAUS PROPERTIES LLC            </t>
  </si>
  <si>
    <t>2017EX09644</t>
  </si>
  <si>
    <t>8055-003-015-0004</t>
  </si>
  <si>
    <t xml:space="preserve">EH 42lf                             </t>
  </si>
  <si>
    <t xml:space="preserve">ZAUGRA CHRISTOPHER J &amp; DUPLAIN      </t>
  </si>
  <si>
    <t xml:space="preserve">MARSH ANDERSEN LLC &amp;                </t>
  </si>
  <si>
    <t>2017EX09649</t>
  </si>
  <si>
    <t>102601-4-023-2008</t>
  </si>
  <si>
    <t xml:space="preserve">BL Viking Way &amp; Hwy 305             </t>
  </si>
  <si>
    <t xml:space="preserve">HOLMBERG CARL M &amp; ANDERSON MAR      </t>
  </si>
  <si>
    <t xml:space="preserve">SEBASTIAN INVESTMENTS LLC           </t>
  </si>
  <si>
    <t>2017EX09662</t>
  </si>
  <si>
    <t>3734-011-012-0000</t>
  </si>
  <si>
    <t xml:space="preserve">617 Callow Retail storefront        </t>
  </si>
  <si>
    <t xml:space="preserve">WEAVER TERRI A                      </t>
  </si>
  <si>
    <t xml:space="preserve">SHELDON LANCE W &amp; JESSICA I         </t>
  </si>
  <si>
    <t>2017EX09669</t>
  </si>
  <si>
    <t>262502-3-147-2003</t>
  </si>
  <si>
    <t xml:space="preserve">ERICKSEN SUSAN R                    </t>
  </si>
  <si>
    <t xml:space="preserve">VANDUINE JASON &amp; ELIZABETH          </t>
  </si>
  <si>
    <t>2017EX09783</t>
  </si>
  <si>
    <t>4230-002-006-0004</t>
  </si>
  <si>
    <t xml:space="preserve">Parking off Front Street            </t>
  </si>
  <si>
    <t xml:space="preserve">NILSEN CARL J IND &amp; PERS REP F      </t>
  </si>
  <si>
    <t xml:space="preserve">POULSBO HISTORICAL SOCIETY          </t>
  </si>
  <si>
    <t>2017EX09831</t>
  </si>
  <si>
    <t>4458-013-005-0403</t>
  </si>
  <si>
    <t xml:space="preserve">Silverdale Auto Repair 1 of 2       </t>
  </si>
  <si>
    <t xml:space="preserve">BKL PROPERTIES LLC                  </t>
  </si>
  <si>
    <t>2017EX09832</t>
  </si>
  <si>
    <t>2017EX09885</t>
  </si>
  <si>
    <t>8070-002-045-0001</t>
  </si>
  <si>
    <t xml:space="preserve">NILSON MICHAEL P &amp; RUTH E           </t>
  </si>
  <si>
    <t xml:space="preserve">ROSE JON                            </t>
  </si>
  <si>
    <t>2017EX09919</t>
  </si>
  <si>
    <t>272701-4-054-2000</t>
  </si>
  <si>
    <t xml:space="preserve">Twelve Trees Self Storage           </t>
  </si>
  <si>
    <t xml:space="preserve">MDM FAMILY ENTERPRISES LLC          </t>
  </si>
  <si>
    <t xml:space="preserve">S &amp; L PESCE LLC                     </t>
  </si>
  <si>
    <t>2017EX10108</t>
  </si>
  <si>
    <t xml:space="preserve">ALAMO KITSAP LLC                    </t>
  </si>
  <si>
    <t>2017EX10121</t>
  </si>
  <si>
    <t>3743-002-018-0002</t>
  </si>
  <si>
    <t xml:space="preserve">Broadway Apartments                 </t>
  </si>
  <si>
    <t xml:space="preserve">BROADWAY MANOR LLC                  </t>
  </si>
  <si>
    <t xml:space="preserve">SCHWOCH LARRY R &amp; BARBARA J         </t>
  </si>
  <si>
    <t>2017EX10171</t>
  </si>
  <si>
    <t>8070-002-022-0008</t>
  </si>
  <si>
    <t xml:space="preserve">HARRIS ALFRED T &amp; STEPHANIE         </t>
  </si>
  <si>
    <t>2017EX10218</t>
  </si>
  <si>
    <t xml:space="preserve">RICHARDSON LOIS I                   </t>
  </si>
  <si>
    <t xml:space="preserve">EXTRA ROOM SELF STORAGE LLC         </t>
  </si>
  <si>
    <t>2017EX10345</t>
  </si>
  <si>
    <t>3718-015-018-0005</t>
  </si>
  <si>
    <t xml:space="preserve">Horse and Cow Pub &amp; Grill           </t>
  </si>
  <si>
    <t xml:space="preserve">BR--ED Employment Dist        </t>
  </si>
  <si>
    <t xml:space="preserve">TROUT SOONTHON K                    </t>
  </si>
  <si>
    <t xml:space="preserve">536 ENTERPRISES LLC                 </t>
  </si>
  <si>
    <t>2017EX10364</t>
  </si>
  <si>
    <t>8103-000-011-0006</t>
  </si>
  <si>
    <t xml:space="preserve">BEAUCHAMP CHRIS &amp; SUSAN             </t>
  </si>
  <si>
    <t xml:space="preserve">BACHMANN RANDY J &amp; MITSUYO S TRUST  </t>
  </si>
  <si>
    <t>2018EX00012</t>
  </si>
  <si>
    <t>232601-1-032-2008</t>
  </si>
  <si>
    <t>Banner Bank and office/retail spaces</t>
  </si>
  <si>
    <t xml:space="preserve">BANNER BANK                         </t>
  </si>
  <si>
    <t xml:space="preserve">WASHINGTON FEDERAL NA               </t>
  </si>
  <si>
    <t>2018EX00069</t>
  </si>
  <si>
    <t>272502-1-016-2004</t>
  </si>
  <si>
    <t xml:space="preserve">SFR off Madison                     </t>
  </si>
  <si>
    <t xml:space="preserve">HOHN SARAH  TRUSTEE                 </t>
  </si>
  <si>
    <t xml:space="preserve">TASDEMIR MURAT &amp; LISA               </t>
  </si>
  <si>
    <t>2018EX00142</t>
  </si>
  <si>
    <t>302402-3-043-2003</t>
  </si>
  <si>
    <t xml:space="preserve">former Taco Bell - Pt Orchard       </t>
  </si>
  <si>
    <t xml:space="preserve">CERWIN LLC                          </t>
  </si>
  <si>
    <t xml:space="preserve">BROSE LLC                           </t>
  </si>
  <si>
    <t>2018EX00161</t>
  </si>
  <si>
    <t>4458-007-005-0009</t>
  </si>
  <si>
    <t xml:space="preserve">BL corner Carlton and Wash          </t>
  </si>
  <si>
    <t xml:space="preserve">SILVER CITY HMI LLC                 </t>
  </si>
  <si>
    <t>2018EX00177</t>
  </si>
  <si>
    <t>202501-1-178-2006</t>
  </si>
  <si>
    <t xml:space="preserve">Spiros Silverdale                   </t>
  </si>
  <si>
    <t xml:space="preserve">SHORE DRIVE ASSOCIATES              </t>
  </si>
  <si>
    <t>2018EX00282</t>
  </si>
  <si>
    <t>262502-2-083-2001</t>
  </si>
  <si>
    <t xml:space="preserve">Office Ericksen Ave                 </t>
  </si>
  <si>
    <t xml:space="preserve">SCHWAGER STEVEN G &amp; ANNE W          </t>
  </si>
  <si>
    <t xml:space="preserve">A AND M PROPERTIES LLC              </t>
  </si>
  <si>
    <t>2018EX00320</t>
  </si>
  <si>
    <t>012401-4-075-2008</t>
  </si>
  <si>
    <t xml:space="preserve">Church of God of Prophecy           </t>
  </si>
  <si>
    <t xml:space="preserve">CHURCH OF GOD OF PROPHECY           </t>
  </si>
  <si>
    <t xml:space="preserve">KITSAP SIKH TEMPLE                  </t>
  </si>
  <si>
    <t>2018EX00355</t>
  </si>
  <si>
    <t>3734-010-021-0001</t>
  </si>
  <si>
    <t>6th &amp; Callow Grocery with small cafe</t>
  </si>
  <si>
    <t xml:space="preserve">FISCHLER REAL ESTATE INVESTMEN      </t>
  </si>
  <si>
    <t xml:space="preserve">ZAPATA MARCELINO &amp; SALGADO LORENA &amp; </t>
  </si>
  <si>
    <t>2018EX00377</t>
  </si>
  <si>
    <t>4458-008-006-0006</t>
  </si>
  <si>
    <t xml:space="preserve">Elements of Style                   </t>
  </si>
  <si>
    <t xml:space="preserve">DIEHL LAURIE &amp; ROGER                </t>
  </si>
  <si>
    <t>2018EX00538</t>
  </si>
  <si>
    <t>3811-002-016-0001</t>
  </si>
  <si>
    <t xml:space="preserve">City Cab Taxi Service               </t>
  </si>
  <si>
    <t xml:space="preserve">GARGUILE STEPHEN G &amp; GARGUILE       </t>
  </si>
  <si>
    <t xml:space="preserve">MAS INVESTMENTS LLC                 </t>
  </si>
  <si>
    <t>2018EX00553</t>
  </si>
  <si>
    <t>4514-000-006-0203</t>
  </si>
  <si>
    <t xml:space="preserve">Carousel Day Care                   </t>
  </si>
  <si>
    <t xml:space="preserve">BURLEY LEILANI J                    </t>
  </si>
  <si>
    <t xml:space="preserve">A ROBBINS NEST INC                  </t>
  </si>
  <si>
    <t>2018EX00569</t>
  </si>
  <si>
    <t>4650-015-009-0004</t>
  </si>
  <si>
    <t xml:space="preserve">CITIBANK NA TRUSTEE                 </t>
  </si>
  <si>
    <t>2018EX00641</t>
  </si>
  <si>
    <t>8171-016-002-0000</t>
  </si>
  <si>
    <t xml:space="preserve">Kitsap Hangar Leasehold Condo B16-2 </t>
  </si>
  <si>
    <t xml:space="preserve">KIMBLE MARILYN V                    </t>
  </si>
  <si>
    <t xml:space="preserve">SHIPLEY RICHARD M &amp; SUE ANN         </t>
  </si>
  <si>
    <t>2018EX00670</t>
  </si>
  <si>
    <t>022401-3-008-2001</t>
  </si>
  <si>
    <t xml:space="preserve">Willows Age Restricted Apartments   </t>
  </si>
  <si>
    <t xml:space="preserve">WELLTOWER INC                       </t>
  </si>
  <si>
    <t xml:space="preserve">KRE TIGER WILLOWS LLC               </t>
  </si>
  <si>
    <t>2018EX00671</t>
  </si>
  <si>
    <t>022401-3-128-2006</t>
  </si>
  <si>
    <t xml:space="preserve">Ashley Gardens Alzhiemer Care       </t>
  </si>
  <si>
    <t xml:space="preserve">KRE TIGER AG BREMERTON LLC          </t>
  </si>
  <si>
    <t>2018EX00672</t>
  </si>
  <si>
    <t>022401-3-129-2005</t>
  </si>
  <si>
    <t>The Cottage at Cascades of Bremerton</t>
  </si>
  <si>
    <t xml:space="preserve">KRE TIGER COTTAGE LLC               </t>
  </si>
  <si>
    <t>2018EX00731</t>
  </si>
  <si>
    <t>4027-004-003-0000</t>
  </si>
  <si>
    <t xml:space="preserve">Attorney's Title of Kitsap          </t>
  </si>
  <si>
    <t xml:space="preserve">COX DONALD F &amp; JULIE                </t>
  </si>
  <si>
    <t xml:space="preserve">PJRC SOUTH LLC                      </t>
  </si>
  <si>
    <t>2018EX00770</t>
  </si>
  <si>
    <t>8172-006-001-0001</t>
  </si>
  <si>
    <t xml:space="preserve">Harbor Square Condo -R1             </t>
  </si>
  <si>
    <t xml:space="preserve">BYRON BRANDON L &amp; SHEEHAN CARO      </t>
  </si>
  <si>
    <t xml:space="preserve">DORCHESTER GROUP LLC                </t>
  </si>
  <si>
    <t>2018EX00798</t>
  </si>
  <si>
    <t>352501-1-046-2009</t>
  </si>
  <si>
    <t xml:space="preserve">3 warehouses Dawn Road              </t>
  </si>
  <si>
    <t xml:space="preserve">SPARKS DONALD &amp;                     </t>
  </si>
  <si>
    <t xml:space="preserve">KJK DEVELOPMENT LLC                 </t>
  </si>
  <si>
    <t>2018EX00812</t>
  </si>
  <si>
    <t xml:space="preserve">POULSBO ONE LLC                     </t>
  </si>
  <si>
    <t>2018EX00823</t>
  </si>
  <si>
    <t xml:space="preserve">BURK DAVE &amp; TAMMY                   </t>
  </si>
  <si>
    <t>2018EX00835</t>
  </si>
  <si>
    <t xml:space="preserve">Manchester - Yukon Harbor-COM </t>
  </si>
  <si>
    <t>4524-002-006-0108</t>
  </si>
  <si>
    <t xml:space="preserve">Spring Hill Apartments              </t>
  </si>
  <si>
    <t xml:space="preserve">CO--MVR                       </t>
  </si>
  <si>
    <t xml:space="preserve">BRIGGS MICHAEL T                    </t>
  </si>
  <si>
    <t>2018EX00847</t>
  </si>
  <si>
    <t>252501-3-072-2004</t>
  </si>
  <si>
    <t xml:space="preserve">Bldg E of Walgreens Brownsville     </t>
  </si>
  <si>
    <t xml:space="preserve">PAZCO INC                           </t>
  </si>
  <si>
    <t xml:space="preserve">GST INVESTMENTS LLC                 </t>
  </si>
  <si>
    <t>2018EX00894</t>
  </si>
  <si>
    <t>4028-001-009-0108</t>
  </si>
  <si>
    <t xml:space="preserve">Peninsula Feed                      </t>
  </si>
  <si>
    <t xml:space="preserve">PENINSULA FEED COMPANY &amp; ENDSL      </t>
  </si>
  <si>
    <t xml:space="preserve">DEFORD DOUGLAS E &amp; DEFORD BRIAN C &amp; </t>
  </si>
  <si>
    <t>2018EX01014</t>
  </si>
  <si>
    <t>272701-4-089-2009</t>
  </si>
  <si>
    <t xml:space="preserve">Hwy 3 &amp; Pioneer w/ 090              </t>
  </si>
  <si>
    <t xml:space="preserve">GORDON H HANSON INC &amp; SEACAT A      </t>
  </si>
  <si>
    <t>LEGGETT SARA MICHELLE &amp; HENRY SPENCE</t>
  </si>
  <si>
    <t>2018EX01243</t>
  </si>
  <si>
    <t>4107-004-001-0005</t>
  </si>
  <si>
    <t xml:space="preserve">4 Plex &amp; studio                     </t>
  </si>
  <si>
    <t xml:space="preserve">BI--R-14                      </t>
  </si>
  <si>
    <t xml:space="preserve">JACOBSEN FAMILY PROPERTIES LLC      </t>
  </si>
  <si>
    <t xml:space="preserve">SPIEKER EVELYN &amp; MAERZ LUDWIG       </t>
  </si>
  <si>
    <t>2018EX01258</t>
  </si>
  <si>
    <t>142601-3-070-2008</t>
  </si>
  <si>
    <t xml:space="preserve">Brown Bear Car Wash - 7th Ave       </t>
  </si>
  <si>
    <t xml:space="preserve">BROOKS MIKE B &amp; BENTON JEANNE       </t>
  </si>
  <si>
    <t>2018EX01275</t>
  </si>
  <si>
    <t>322401-1-120-2002</t>
  </si>
  <si>
    <t xml:space="preserve">Proposed Prew storage warehouse     </t>
  </si>
  <si>
    <t xml:space="preserve">CHRISTENSEN JALILLY ESTATE          </t>
  </si>
  <si>
    <t xml:space="preserve">CARLSON ENTERPRISES LIMITED LLC     </t>
  </si>
  <si>
    <t>2018EX01337</t>
  </si>
  <si>
    <t>212501-2-013-2002</t>
  </si>
  <si>
    <t xml:space="preserve">Hop Jacks                           </t>
  </si>
  <si>
    <t>2018EX01369</t>
  </si>
  <si>
    <t>322402-1-081-2008</t>
  </si>
  <si>
    <t xml:space="preserve">GROHN LARRY &amp; GAYLE                 </t>
  </si>
  <si>
    <t xml:space="preserve">MCROBERTS KERRY D &amp; VICKI R         </t>
  </si>
  <si>
    <t>2018EX01378</t>
  </si>
  <si>
    <t>022401-1-070-2008</t>
  </si>
  <si>
    <t xml:space="preserve">BL City Villa 7 of 9                </t>
  </si>
  <si>
    <t xml:space="preserve">ROBINSON AUDREY M                   </t>
  </si>
  <si>
    <t xml:space="preserve">SCHEEL SCOTT C &amp; TEAH A             </t>
  </si>
  <si>
    <t>2018EX01388</t>
  </si>
  <si>
    <t>232601-2-168-2002</t>
  </si>
  <si>
    <t xml:space="preserve">BL- Jensen                          </t>
  </si>
  <si>
    <t xml:space="preserve">PUBLIC UTILITY DIST #1 OF KITS      </t>
  </si>
  <si>
    <t xml:space="preserve">POULSBO LLC                         </t>
  </si>
  <si>
    <t>2018EX01391</t>
  </si>
  <si>
    <t>022301-3-005-2005</t>
  </si>
  <si>
    <t xml:space="preserve">BL Sidney Road by Berry             </t>
  </si>
  <si>
    <t xml:space="preserve">HABITAT FOR HUMANITY OF KITSAP      </t>
  </si>
  <si>
    <t xml:space="preserve">HH TWO LLC                          </t>
  </si>
  <si>
    <t>2018EX01417</t>
  </si>
  <si>
    <t>4110-000-004-0005</t>
  </si>
  <si>
    <t xml:space="preserve">Kass &amp; Cook Family Funeral Home     </t>
  </si>
  <si>
    <t xml:space="preserve">COOK PROPERTIES LLC                 </t>
  </si>
  <si>
    <t xml:space="preserve">HAHN DINAN LLC                      </t>
  </si>
  <si>
    <t>2018EX01496</t>
  </si>
  <si>
    <t>262502-2-063-2005</t>
  </si>
  <si>
    <t xml:space="preserve">Eagle Harbor Bldg                   </t>
  </si>
  <si>
    <t xml:space="preserve">EAGLE HARBOR BUILDING LLC           </t>
  </si>
  <si>
    <t xml:space="preserve">MACKINAW INVESTMENTS LLC            </t>
  </si>
  <si>
    <t>2018EX01604</t>
  </si>
  <si>
    <t>4053-012-001-0200</t>
  </si>
  <si>
    <t xml:space="preserve">Arnolds Bail Bonds, etc             </t>
  </si>
  <si>
    <t xml:space="preserve">HOFFMAN PHILIP W &amp; CAROL A          </t>
  </si>
  <si>
    <t xml:space="preserve">HIKES SAENSUK                       </t>
  </si>
  <si>
    <t>2018EX01623</t>
  </si>
  <si>
    <t>8070-003-010-0000</t>
  </si>
  <si>
    <t xml:space="preserve">OBRIEN KENNETH C &amp; JULIANNE         </t>
  </si>
  <si>
    <t xml:space="preserve">CLOTFELTER JASON &amp; COLLEEN          </t>
  </si>
  <si>
    <t>2018EX01681</t>
  </si>
  <si>
    <t>172501-4-086-2006</t>
  </si>
  <si>
    <t xml:space="preserve">Pollard Dental Bldg B               </t>
  </si>
  <si>
    <t xml:space="preserve">WAVE HOUSE LLC                      </t>
  </si>
  <si>
    <t xml:space="preserve">POLLARD ENTERPRISES LLC             </t>
  </si>
  <si>
    <t>2018EX01702</t>
  </si>
  <si>
    <t>202501-1-058-2001</t>
  </si>
  <si>
    <t xml:space="preserve">9481 Bayshore                       </t>
  </si>
  <si>
    <t xml:space="preserve">KMT LLC                             </t>
  </si>
  <si>
    <t>2018EX01808</t>
  </si>
  <si>
    <t>202501-1-137-2006</t>
  </si>
  <si>
    <t xml:space="preserve">My Goods Market - 76 Station        </t>
  </si>
  <si>
    <t xml:space="preserve">KARLBERG RONALD E &amp; KATHLEEN L      </t>
  </si>
  <si>
    <t>2018EX01817</t>
  </si>
  <si>
    <t>122301-2-017-2001</t>
  </si>
  <si>
    <t xml:space="preserve">Converted SFR &amp; Espresso            </t>
  </si>
  <si>
    <t xml:space="preserve">M &amp; D DREESSEN LLC                  </t>
  </si>
  <si>
    <t>2018EX01905</t>
  </si>
  <si>
    <t>172501-4-100-2008</t>
  </si>
  <si>
    <t>PARAMOUNT REAL ESTATE INVESTMENTS LL</t>
  </si>
  <si>
    <t>2018EX02200</t>
  </si>
  <si>
    <t xml:space="preserve">MCGRAW DENNIS                       </t>
  </si>
  <si>
    <t>2018EX02215</t>
  </si>
  <si>
    <t>022401-1-071-2007</t>
  </si>
  <si>
    <t xml:space="preserve">BL City Villa 8 of 9                </t>
  </si>
  <si>
    <t>2018EX02310</t>
  </si>
  <si>
    <t>202501-1-136-2007</t>
  </si>
  <si>
    <t xml:space="preserve">Anderson Hill Office                </t>
  </si>
  <si>
    <t xml:space="preserve">MORTON DENTAL BLDG LLC              </t>
  </si>
  <si>
    <t xml:space="preserve">ANDERSON HILL PROPERTIES LLC        </t>
  </si>
  <si>
    <t>2018EX02369</t>
  </si>
  <si>
    <t>4223-000-002-0001</t>
  </si>
  <si>
    <t xml:space="preserve">Blue Heron Jewelry &amp; Office above   </t>
  </si>
  <si>
    <t xml:space="preserve">AUSTIN BILL                         </t>
  </si>
  <si>
    <t xml:space="preserve">BL STRANDVAGEN LLC                  </t>
  </si>
  <si>
    <t>2018EX02370</t>
  </si>
  <si>
    <t>232601-2-184-2002</t>
  </si>
  <si>
    <t xml:space="preserve">Tolman Kirk Law Office, Etc         </t>
  </si>
  <si>
    <t xml:space="preserve">TOLMAN JEFFREY L &amp; LAURIE S &amp;       </t>
  </si>
  <si>
    <t>2018EX02378</t>
  </si>
  <si>
    <t>022301-4-094-2005</t>
  </si>
  <si>
    <t xml:space="preserve">Bethel &amp; Sedgwick Shell CSWG        </t>
  </si>
  <si>
    <t xml:space="preserve">RKCM CORP                           </t>
  </si>
  <si>
    <t xml:space="preserve">TWAE JI 4 INC                       </t>
  </si>
  <si>
    <t>2018EX02380</t>
  </si>
  <si>
    <t>152401-1-064-2001</t>
  </si>
  <si>
    <t xml:space="preserve">SFR 15th St                         </t>
  </si>
  <si>
    <t xml:space="preserve">NOLL MARGARETTA M PERSONAL REP      </t>
  </si>
  <si>
    <t xml:space="preserve">BECKER ROBERT P JR                  </t>
  </si>
  <si>
    <t>2018EX02414</t>
  </si>
  <si>
    <t>4489-000-008-0004</t>
  </si>
  <si>
    <t xml:space="preserve">MultiCare                           </t>
  </si>
  <si>
    <t xml:space="preserve">BOJACK PROPERTIES LLC               </t>
  </si>
  <si>
    <t xml:space="preserve">PJRC CENTRAL LLC &amp; AV CENTRAL LLC   </t>
  </si>
  <si>
    <t>2018EX02502</t>
  </si>
  <si>
    <t>262702-4-059-2005</t>
  </si>
  <si>
    <t xml:space="preserve">BL On Hwy 104 W of Bradley Center   </t>
  </si>
  <si>
    <t xml:space="preserve">STRUSS WOLFGANG                     </t>
  </si>
  <si>
    <t>2018EX02524</t>
  </si>
  <si>
    <t>082501-4-014-2004</t>
  </si>
  <si>
    <t xml:space="preserve">BL off Frontier Rd by Kiptree Ln    </t>
  </si>
  <si>
    <t xml:space="preserve">CENTRAL KITSAP SCHOOL DIST 401      </t>
  </si>
  <si>
    <t>2018EX02525</t>
  </si>
  <si>
    <t xml:space="preserve">SILVERDALE DEVELOPMENT LLC          </t>
  </si>
  <si>
    <t>2018EX02560</t>
  </si>
  <si>
    <t xml:space="preserve">2030 RENTALS LLC                    </t>
  </si>
  <si>
    <t xml:space="preserve">REAGAN PATRICIA                     </t>
  </si>
  <si>
    <t>2018EX02598</t>
  </si>
  <si>
    <t xml:space="preserve">BROADMOOR COMMONS LLC               </t>
  </si>
  <si>
    <t>2018EX02623</t>
  </si>
  <si>
    <t>172501-1-019-2004</t>
  </si>
  <si>
    <t xml:space="preserve">SFR Martha Ln/OldFrontier           </t>
  </si>
  <si>
    <t xml:space="preserve">PETERSON  LOIS E                    </t>
  </si>
  <si>
    <t xml:space="preserve">COMPTON BRIAN A &amp; ANDREA K          </t>
  </si>
  <si>
    <t>2018EX02670</t>
  </si>
  <si>
    <t>202501-1-186-2006</t>
  </si>
  <si>
    <t xml:space="preserve">KCCHA Golden Tides Office Bldg      </t>
  </si>
  <si>
    <t xml:space="preserve">HARLOW BRUCE &amp; BETTY                </t>
  </si>
  <si>
    <t>2018EX02720</t>
  </si>
  <si>
    <t>3752-003-025-0009</t>
  </si>
  <si>
    <t xml:space="preserve">Auto Repair  6th and Naval          </t>
  </si>
  <si>
    <t xml:space="preserve">HAVEN SHIRLEY L ESTATE              </t>
  </si>
  <si>
    <t xml:space="preserve">SNOW BLIND LLC                      </t>
  </si>
  <si>
    <t>2018EX02733</t>
  </si>
  <si>
    <t>3965-000-070-0101</t>
  </si>
  <si>
    <t xml:space="preserve">Camelot Apt N of Lebo Blvd          </t>
  </si>
  <si>
    <t xml:space="preserve">ROBINSON AUDREY M &amp; CARLSON JA      </t>
  </si>
  <si>
    <t xml:space="preserve">SEATTLE YOUTH HOME SERVICES LLC     </t>
  </si>
  <si>
    <t>2018EX02778</t>
  </si>
  <si>
    <t>312402-2-019-2004</t>
  </si>
  <si>
    <t xml:space="preserve">Walt's Radiator &amp; Muffler           </t>
  </si>
  <si>
    <t xml:space="preserve">HILLSTROM AL TRUSTEE &amp; HILLSTR      </t>
  </si>
  <si>
    <t xml:space="preserve">TKB AUTO GROUP INC                  </t>
  </si>
  <si>
    <t>2018EX02822</t>
  </si>
  <si>
    <t>3734-012-011-0009</t>
  </si>
  <si>
    <t xml:space="preserve">2820 Kitsap Wy - Tavern &amp; Retail    </t>
  </si>
  <si>
    <t xml:space="preserve">CHRISTIAN ANDREW M &amp; HILL JEAN      </t>
  </si>
  <si>
    <t>2018EX02964</t>
  </si>
  <si>
    <t>262702-4-002-2003</t>
  </si>
  <si>
    <t xml:space="preserve">Kingston Arco                       </t>
  </si>
  <si>
    <t xml:space="preserve">YOUNG JOON CORP                     </t>
  </si>
  <si>
    <t xml:space="preserve">DJK 64 CORPORATION                  </t>
  </si>
  <si>
    <t>2018EX02990</t>
  </si>
  <si>
    <t>3972-000-006-0200</t>
  </si>
  <si>
    <t xml:space="preserve">Bare land                           </t>
  </si>
  <si>
    <t xml:space="preserve">FIRESTONE PATRICIA                  </t>
  </si>
  <si>
    <t xml:space="preserve">50/50 VENTURES LLC                  </t>
  </si>
  <si>
    <t>2018EX03087</t>
  </si>
  <si>
    <t>142601-1-048-2001</t>
  </si>
  <si>
    <t xml:space="preserve">Shell Total Stop Food Mart          </t>
  </si>
  <si>
    <t xml:space="preserve">SUNWOO USA LLC                      </t>
  </si>
  <si>
    <t xml:space="preserve">ALL ENTERPRISES II LLC              </t>
  </si>
  <si>
    <t>2018EX03143</t>
  </si>
  <si>
    <t>4027-019-008-0003</t>
  </si>
  <si>
    <t xml:space="preserve">Farragut Five Apts                  </t>
  </si>
  <si>
    <t xml:space="preserve">LANG CLAUDIA A                      </t>
  </si>
  <si>
    <t xml:space="preserve">BAYNE KENNETH C JR                  </t>
  </si>
  <si>
    <t>2018EX03159</t>
  </si>
  <si>
    <t xml:space="preserve">559- Auto wrecking yard       </t>
  </si>
  <si>
    <t>292402-3-048-2001</t>
  </si>
  <si>
    <t xml:space="preserve">Leo's Towing Mile Hill              </t>
  </si>
  <si>
    <t xml:space="preserve">LEOS TOWING INC                     </t>
  </si>
  <si>
    <t xml:space="preserve">LEOS TOWING STORAGE LLC             </t>
  </si>
  <si>
    <t>2018EX03161</t>
  </si>
  <si>
    <t>172501-4-074-2000</t>
  </si>
  <si>
    <t xml:space="preserve">Sound Publishing Bldg - Randall Way </t>
  </si>
  <si>
    <t xml:space="preserve">SLS SILVERDALE LLC                  </t>
  </si>
  <si>
    <t xml:space="preserve">WG INVESTMENTS LLC                  </t>
  </si>
  <si>
    <t>2018EX03325</t>
  </si>
  <si>
    <t>152401-2-168-2004</t>
  </si>
  <si>
    <t xml:space="preserve">Ramsay's Customs                    </t>
  </si>
  <si>
    <t xml:space="preserve">BR--LC Limited Commercial     </t>
  </si>
  <si>
    <t xml:space="preserve">KARLBERG RONALD &amp; KATHLEEN          </t>
  </si>
  <si>
    <t xml:space="preserve">SANDRAGRACE PROPERTIES LLC          </t>
  </si>
  <si>
    <t>2018EX03385</t>
  </si>
  <si>
    <t>3783-002-016-0104</t>
  </si>
  <si>
    <t xml:space="preserve">Office Adele Ave                    </t>
  </si>
  <si>
    <t xml:space="preserve">JOHNSON RICHARD B                   </t>
  </si>
  <si>
    <t xml:space="preserve">WHITETAIL PROPERTIES LLC            </t>
  </si>
  <si>
    <t>2018EX03423</t>
  </si>
  <si>
    <t>8056-003-030-0004</t>
  </si>
  <si>
    <t xml:space="preserve">WW #C-30, 30lf                      </t>
  </si>
  <si>
    <t xml:space="preserve">CAMPBELL SUSAN E                    </t>
  </si>
  <si>
    <t xml:space="preserve">BBH2THREE LLC                       </t>
  </si>
  <si>
    <t>2018EX03440</t>
  </si>
  <si>
    <t>262702-2-045-2006</t>
  </si>
  <si>
    <t>BL Fronting Hwy 104 Kingston (Lot D)</t>
  </si>
  <si>
    <t xml:space="preserve">KINGSTON APPROACH LLC               </t>
  </si>
  <si>
    <t xml:space="preserve">HALL BARBIE DANIELLE DECARLO        </t>
  </si>
  <si>
    <t>2018EX03498</t>
  </si>
  <si>
    <t>8151-000-406-0000</t>
  </si>
  <si>
    <t xml:space="preserve">The Meridian on BI - Unit 406       </t>
  </si>
  <si>
    <t xml:space="preserve">LINDBERG STEVEN M &amp; DOLORES C       </t>
  </si>
  <si>
    <t xml:space="preserve">KANG MYUNG HEE                      </t>
  </si>
  <si>
    <t>2018EX03531</t>
  </si>
  <si>
    <t>262502-2-045-2008</t>
  </si>
  <si>
    <t xml:space="preserve">SFR Conv to 9 office units          </t>
  </si>
  <si>
    <t xml:space="preserve">SARIN JACK W &amp; VICKI A TRUSTEE      </t>
  </si>
  <si>
    <t xml:space="preserve">OOMBEAR LLC                         </t>
  </si>
  <si>
    <t>2018EX03675</t>
  </si>
  <si>
    <t>8070-003-025-0003</t>
  </si>
  <si>
    <t xml:space="preserve">HOLLAND STEPHEN K &amp; LEE ANN T       </t>
  </si>
  <si>
    <t xml:space="preserve">CONLAN MICHAEL R &amp; NITA             </t>
  </si>
  <si>
    <t>2018EX03718</t>
  </si>
  <si>
    <t xml:space="preserve">EVERGREEN INVESTMENTS LLC           </t>
  </si>
  <si>
    <t>2018EX03775</t>
  </si>
  <si>
    <t>052401-3-004-1004</t>
  </si>
  <si>
    <t xml:space="preserve">Camp Union Ctr                      </t>
  </si>
  <si>
    <t xml:space="preserve">SERIZON NO 1 LLC                    </t>
  </si>
  <si>
    <t xml:space="preserve">MSALK #2 LLC                        </t>
  </si>
  <si>
    <t>2018EX03824</t>
  </si>
  <si>
    <t>4684-002-004-0106</t>
  </si>
  <si>
    <t xml:space="preserve">Mountain View Apartments            </t>
  </si>
  <si>
    <t xml:space="preserve">MOUNTAIN VIEW TOWNHOUSES LLC        </t>
  </si>
  <si>
    <t>COOPER DAVID A &amp; TERRY L &amp; COOPER MI</t>
  </si>
  <si>
    <t>2018EX03852</t>
  </si>
  <si>
    <t>4650-015-004-0108</t>
  </si>
  <si>
    <t xml:space="preserve">SFR on Prospect St                  </t>
  </si>
  <si>
    <t xml:space="preserve">ALBERTSON JULIET K                  </t>
  </si>
  <si>
    <t>SMITH SUANNE MARTIN &amp; SMITH RUBY ROS</t>
  </si>
  <si>
    <t>2018EX03889</t>
  </si>
  <si>
    <t>2018EX03892</t>
  </si>
  <si>
    <t>4458-011-001-0005</t>
  </si>
  <si>
    <t xml:space="preserve">1/2 of Ofc/retail bld on Bay Shore  </t>
  </si>
  <si>
    <t xml:space="preserve">CHRISTMAN GERALD                    </t>
  </si>
  <si>
    <t>2018EX03920</t>
  </si>
  <si>
    <t>322401-1-068-2006</t>
  </si>
  <si>
    <t xml:space="preserve">SFR&amp;MH Gorst                        </t>
  </si>
  <si>
    <t xml:space="preserve">HASTINGS KEEN TARA L PERS REP       </t>
  </si>
  <si>
    <t xml:space="preserve">CARLSON ENTERPRISES LIMITED         </t>
  </si>
  <si>
    <t>2018EX03941</t>
  </si>
  <si>
    <t>8055-002-024-0005</t>
  </si>
  <si>
    <t xml:space="preserve">EH 38lf                             </t>
  </si>
  <si>
    <t xml:space="preserve">GOLDEN RICHARD &amp; LINDA              </t>
  </si>
  <si>
    <t xml:space="preserve">MALLON MAVIS M                      </t>
  </si>
  <si>
    <t>2018EX03960</t>
  </si>
  <si>
    <t>8070-003-030-0006</t>
  </si>
  <si>
    <t xml:space="preserve">THOMPSON BERNARD B &amp; KATHRYN W      </t>
  </si>
  <si>
    <t xml:space="preserve">OGDEN STANLEY J &amp; MARCIA P          </t>
  </si>
  <si>
    <t>2018EX03964</t>
  </si>
  <si>
    <t>162401-4-018-2001</t>
  </si>
  <si>
    <t xml:space="preserve">Sound Excavation, Inc.              </t>
  </si>
  <si>
    <t xml:space="preserve">ROBINSON JAMES H  COMPANY INC       </t>
  </si>
  <si>
    <t xml:space="preserve">JTL INVESTMENTS LLC                 </t>
  </si>
  <si>
    <t>2018EX03973</t>
  </si>
  <si>
    <t>262502-3-014-2003</t>
  </si>
  <si>
    <t xml:space="preserve">MERTH LINNA &amp; FINNEY DIANNE CO      </t>
  </si>
  <si>
    <t xml:space="preserve">THORNTON BRITTANY                   </t>
  </si>
  <si>
    <t>2018EX03981</t>
  </si>
  <si>
    <t xml:space="preserve">121- 2 living units           </t>
  </si>
  <si>
    <t>112301-1-017-2004</t>
  </si>
  <si>
    <t xml:space="preserve">2 SFR's on Segwick west of Bethel   </t>
  </si>
  <si>
    <t xml:space="preserve">SHADBOLT BERNICE CATHERINE EST      </t>
  </si>
  <si>
    <t>2018EX04060</t>
  </si>
  <si>
    <t>8164-015-004-0009</t>
  </si>
  <si>
    <t xml:space="preserve">T-Hangar B15-4 (Bld Only)           </t>
  </si>
  <si>
    <t xml:space="preserve">TESSITORE ANTHONY P &amp; KAREN M       </t>
  </si>
  <si>
    <t xml:space="preserve">GOLD CAP LLC                        </t>
  </si>
  <si>
    <t>2018EX04071</t>
  </si>
  <si>
    <t xml:space="preserve">Bainbridge South Wtfrnt-COM   </t>
  </si>
  <si>
    <t>042402-1-019-2009</t>
  </si>
  <si>
    <t xml:space="preserve">Old Warehouse Lynwood Center        </t>
  </si>
  <si>
    <t xml:space="preserve">BI--R-2                       </t>
  </si>
  <si>
    <t xml:space="preserve">THOMAS SUSAN S                      </t>
  </si>
  <si>
    <t xml:space="preserve">OLD MILL PLACE PROPERTIES LLC       </t>
  </si>
  <si>
    <t>2018EX04075</t>
  </si>
  <si>
    <t>162501-4-008-2002</t>
  </si>
  <si>
    <t xml:space="preserve">Central Valley Childcare            </t>
  </si>
  <si>
    <t xml:space="preserve">ROYAL VALLEY LLC                    </t>
  </si>
  <si>
    <t xml:space="preserve">EDGY PROPERTIES LLC                 </t>
  </si>
  <si>
    <t>2018EX04084</t>
  </si>
  <si>
    <t>232501-4-021-2006</t>
  </si>
  <si>
    <t xml:space="preserve">MH on Hwy 303                       </t>
  </si>
  <si>
    <t xml:space="preserve">HUBBARD LONNIE H &amp; LORI K           </t>
  </si>
  <si>
    <t>2018EX04087</t>
  </si>
  <si>
    <t>172501-4-044-2007</t>
  </si>
  <si>
    <t xml:space="preserve">Sunrise Vista Apts - Silverdale     </t>
  </si>
  <si>
    <t xml:space="preserve">SUNRISE VISTA VIEW LLC              </t>
  </si>
  <si>
    <t>JOYCE NEIL S &amp; BROWN KRISTIN TRUSTEE</t>
  </si>
  <si>
    <t>2018EX04139</t>
  </si>
  <si>
    <t xml:space="preserve">WEAVER THOMAS &amp; JEAN                </t>
  </si>
  <si>
    <t xml:space="preserve">VAYARAA SURNAIJAV &amp; TAMIR TUGSUU    </t>
  </si>
  <si>
    <t>2018EX04268</t>
  </si>
  <si>
    <t>352501-1-053-2009</t>
  </si>
  <si>
    <t xml:space="preserve">BL Dawn Road                        </t>
  </si>
  <si>
    <t xml:space="preserve">HARRISON MEDICAL CENTER FOUNDA      </t>
  </si>
  <si>
    <t>2018EX04430</t>
  </si>
  <si>
    <t>3914-004-003-0800</t>
  </si>
  <si>
    <t xml:space="preserve">Tease Beauty Salon                  </t>
  </si>
  <si>
    <t xml:space="preserve">MESSICK RICHARD                     </t>
  </si>
  <si>
    <t xml:space="preserve">PARR JUDY &amp; NORMAN MICHAEL          </t>
  </si>
  <si>
    <t>2018EX04478</t>
  </si>
  <si>
    <t>3905-000-001-0009</t>
  </si>
  <si>
    <t xml:space="preserve">SHAW PAULINE M                      </t>
  </si>
  <si>
    <t xml:space="preserve">GOLDLEAF CORPORATION                </t>
  </si>
  <si>
    <t>2018EX04507</t>
  </si>
  <si>
    <t>3976-029-001-0002</t>
  </si>
  <si>
    <t xml:space="preserve">2313 Wheaton Way - Bay Bowl         </t>
  </si>
  <si>
    <t xml:space="preserve">BAY VU INVESTMENTS LLC              </t>
  </si>
  <si>
    <t>2018EX04516</t>
  </si>
  <si>
    <t>262501-2-057-1006</t>
  </si>
  <si>
    <t xml:space="preserve">R &amp; H Market &amp; Gas                  </t>
  </si>
  <si>
    <t xml:space="preserve">HERDMANS INC                        </t>
  </si>
  <si>
    <t>2018EX04778</t>
  </si>
  <si>
    <t xml:space="preserve">OBB LLC                             </t>
  </si>
  <si>
    <t>2018EX04805</t>
  </si>
  <si>
    <t>172401-1-022-2000</t>
  </si>
  <si>
    <t xml:space="preserve">SFR 1727 Lyle Ave                   </t>
  </si>
  <si>
    <t xml:space="preserve">JOHNSON CASEY                       </t>
  </si>
  <si>
    <t xml:space="preserve">MANGULING ENRICO G &amp; LIZELISA R     </t>
  </si>
  <si>
    <t>2018EX04818</t>
  </si>
  <si>
    <t xml:space="preserve">PARAMOUNT REAL ESTATE INVESTME      </t>
  </si>
  <si>
    <t xml:space="preserve">REYNOLDS SHELLONE                   </t>
  </si>
  <si>
    <t>2018EX04835</t>
  </si>
  <si>
    <t>8070-001-046-0002</t>
  </si>
  <si>
    <t xml:space="preserve">YUEN ROBIN L TRUSTEE                </t>
  </si>
  <si>
    <t xml:space="preserve">NEWELL DOUGLAS &amp; AUDREY             </t>
  </si>
  <si>
    <t>2018EX04883</t>
  </si>
  <si>
    <t>3913-007-011-0002</t>
  </si>
  <si>
    <t xml:space="preserve">Manette Radio                       </t>
  </si>
  <si>
    <t xml:space="preserve">DAVIES STEVEN E                     </t>
  </si>
  <si>
    <t xml:space="preserve">TV MANETTE LLC                      </t>
  </si>
  <si>
    <t>2018EX04938</t>
  </si>
  <si>
    <t>8169-000-001-0009</t>
  </si>
  <si>
    <t xml:space="preserve">Unit 1- West Building               </t>
  </si>
  <si>
    <t>2018EX04941</t>
  </si>
  <si>
    <t>292702-3-078-2001</t>
  </si>
  <si>
    <t xml:space="preserve">United Business Park &amp; Storage      </t>
  </si>
  <si>
    <t xml:space="preserve">JD UNITED LLC                       </t>
  </si>
  <si>
    <t>2018EX04964</t>
  </si>
  <si>
    <t>052401-3-017-1009</t>
  </si>
  <si>
    <t xml:space="preserve">BL zoned RCO Holly Road             </t>
  </si>
  <si>
    <t xml:space="preserve">MOODY DANNY D                       </t>
  </si>
  <si>
    <t xml:space="preserve">THOMA ELIZABETH                     </t>
  </si>
  <si>
    <t>2018EX04998</t>
  </si>
  <si>
    <t>122401-4-043-2004</t>
  </si>
  <si>
    <t xml:space="preserve">Edgewood Villa Apartments           </t>
  </si>
  <si>
    <t xml:space="preserve">EDGEWOOD GROUP LLC                  </t>
  </si>
  <si>
    <t xml:space="preserve">WINFIELD AVE TNC LLC                </t>
  </si>
  <si>
    <t>2018EX05032</t>
  </si>
  <si>
    <t>162401-4-012-2007</t>
  </si>
  <si>
    <t xml:space="preserve">Office off Kitsap Wy near Hwy 3     </t>
  </si>
  <si>
    <t xml:space="preserve">SCHOURUP WILLIAM E &amp; BONNIE J       </t>
  </si>
  <si>
    <t xml:space="preserve">HOLLY RIDGE CENTER                  </t>
  </si>
  <si>
    <t>2018EX05081</t>
  </si>
  <si>
    <t>152601-4-041-2001</t>
  </si>
  <si>
    <t xml:space="preserve">NW Food Mart and Subway             </t>
  </si>
  <si>
    <t xml:space="preserve">YOWAN &amp; SIMONE INC                  </t>
  </si>
  <si>
    <t xml:space="preserve">MARS GROUP INC                      </t>
  </si>
  <si>
    <t>2018EX05245</t>
  </si>
  <si>
    <t>162401-4-088-2006</t>
  </si>
  <si>
    <t xml:space="preserve">Windsor Building- Holly Ridge       </t>
  </si>
  <si>
    <t xml:space="preserve">THREE PALMS DEVELOPMENT LLC         </t>
  </si>
  <si>
    <t xml:space="preserve">HOLLY RIDGE CENTER INC              </t>
  </si>
  <si>
    <t>2018EX05249</t>
  </si>
  <si>
    <t>3806-005-037-0006</t>
  </si>
  <si>
    <t xml:space="preserve">2607 Burwell -  Auto Repair         </t>
  </si>
  <si>
    <t>2018EX05369</t>
  </si>
  <si>
    <t>4650-002-015-0202</t>
  </si>
  <si>
    <t xml:space="preserve">Ness &amp; Hill                         </t>
  </si>
  <si>
    <t xml:space="preserve">NESS KATHY ANN                      </t>
  </si>
  <si>
    <t xml:space="preserve">420 CLINE AVE LLC                   </t>
  </si>
  <si>
    <t>2018EX05596</t>
  </si>
  <si>
    <t>3976-030-028-0009</t>
  </si>
  <si>
    <t xml:space="preserve">Office building Lower Wheaton       </t>
  </si>
  <si>
    <t xml:space="preserve">CARPE DIEM DEVELOPMENT LLC          </t>
  </si>
  <si>
    <t>2018EX05597</t>
  </si>
  <si>
    <t>3967-001-017-0202</t>
  </si>
  <si>
    <t xml:space="preserve">Parking lot across from Bay Bowl    </t>
  </si>
  <si>
    <t>2018EX05843</t>
  </si>
  <si>
    <t>162501-2-041-2005</t>
  </si>
  <si>
    <t xml:space="preserve">Silverdale Square                   </t>
  </si>
  <si>
    <t xml:space="preserve">NORTHSHORE INVESTMENTS INC          </t>
  </si>
  <si>
    <t>2018EX05882</t>
  </si>
  <si>
    <t>4458-003-002-0001</t>
  </si>
  <si>
    <t xml:space="preserve">Independent Practitioners           </t>
  </si>
  <si>
    <t xml:space="preserve">LKL ENTERPRISES LLC                 </t>
  </si>
  <si>
    <t xml:space="preserve">HANSEN DOUGLAS C JR                 </t>
  </si>
  <si>
    <t>2018EX05932</t>
  </si>
  <si>
    <t>022401-1-103-2009</t>
  </si>
  <si>
    <t>Insignia Apartment homes Wheaton Way</t>
  </si>
  <si>
    <t xml:space="preserve">WHEATON WAY APARTMENTS LLC          </t>
  </si>
  <si>
    <t xml:space="preserve">SP/LLU INSIGNIA LLC                 </t>
  </si>
  <si>
    <t>2018EX05939</t>
  </si>
  <si>
    <t>4027-003-008-0403</t>
  </si>
  <si>
    <t xml:space="preserve">Retail, Apts Above, SFR             </t>
  </si>
  <si>
    <t xml:space="preserve">HANNEM KIRT E SR &amp; BAY STREET       </t>
  </si>
  <si>
    <t xml:space="preserve">ASD SOUND INVESTMENTS LLC           </t>
  </si>
  <si>
    <t>2018EX05956</t>
  </si>
  <si>
    <t>4474-014-015-0003</t>
  </si>
  <si>
    <t xml:space="preserve">Former Tracyton Hall Site           </t>
  </si>
  <si>
    <t xml:space="preserve">DUMONT JAMES G &amp; DUMONT JAMES       </t>
  </si>
  <si>
    <t xml:space="preserve">ALFORD JAMES M                      </t>
  </si>
  <si>
    <t>2018EX05960</t>
  </si>
  <si>
    <t>8070-001-030-0000</t>
  </si>
  <si>
    <t xml:space="preserve">DICKSON MARILYN                     </t>
  </si>
  <si>
    <t xml:space="preserve">MURPHY CHARLES                      </t>
  </si>
  <si>
    <t>2018EX05979</t>
  </si>
  <si>
    <t>4316-007-001-0609</t>
  </si>
  <si>
    <t xml:space="preserve">Drifter's Galley &amp; Sports Bar       </t>
  </si>
  <si>
    <t xml:space="preserve">WOODWARD VINTON W &amp; JANE &amp; SCH      </t>
  </si>
  <si>
    <t xml:space="preserve">LAWRENCE GRANT MARTINE E            </t>
  </si>
  <si>
    <t>2018EX05995</t>
  </si>
  <si>
    <t>162501-2-077-2002</t>
  </si>
  <si>
    <t xml:space="preserve">Bevmo                               </t>
  </si>
  <si>
    <t xml:space="preserve">LSR PROPERTIES INC                  </t>
  </si>
  <si>
    <t xml:space="preserve">REGENCY PARK LLC                    </t>
  </si>
  <si>
    <t>2018EX06020</t>
  </si>
  <si>
    <t>142601-1-055-2001</t>
  </si>
  <si>
    <t xml:space="preserve">Reliable Strg-Poulsbo Split by Port </t>
  </si>
  <si>
    <t xml:space="preserve">LITTLE VALLEY STORAGE LLC           </t>
  </si>
  <si>
    <t>2018EX06059</t>
  </si>
  <si>
    <t>142601-1-037-2004</t>
  </si>
  <si>
    <t xml:space="preserve">HATTALAND LLP                       </t>
  </si>
  <si>
    <t>2018EX06060</t>
  </si>
  <si>
    <t>142601-4-109-2001</t>
  </si>
  <si>
    <t xml:space="preserve">Pre Plat Appr for 9 lots In Process </t>
  </si>
  <si>
    <t xml:space="preserve">HERN TERRI A ET AL BY ELLOITT       </t>
  </si>
  <si>
    <t>2018EX06133</t>
  </si>
  <si>
    <t>8070-002-012-0000</t>
  </si>
  <si>
    <t xml:space="preserve">GREGG TIMOTHY J PERSONAL REP        </t>
  </si>
  <si>
    <t xml:space="preserve">BROWN DAVID &amp; DANA                  </t>
  </si>
  <si>
    <t>2018EX06162</t>
  </si>
  <si>
    <t>022301-4-071-2002</t>
  </si>
  <si>
    <t xml:space="preserve">MH Ramsey contig w/040              </t>
  </si>
  <si>
    <t xml:space="preserve">CREGIER CHARLES E                   </t>
  </si>
  <si>
    <t xml:space="preserve">WILLYARD BRIAN C                    </t>
  </si>
  <si>
    <t>2018EX06199</t>
  </si>
  <si>
    <t xml:space="preserve">SECURED HOLDINGS LLC                </t>
  </si>
  <si>
    <t>2018EX06221</t>
  </si>
  <si>
    <t>8056-003-008-0002</t>
  </si>
  <si>
    <t xml:space="preserve">Winslow Wharf C-08, 30LF            </t>
  </si>
  <si>
    <t xml:space="preserve">BELLAMY EARL J                      </t>
  </si>
  <si>
    <t xml:space="preserve">WOLF JUSTIN &amp; BUCHNER MARTINA       </t>
  </si>
  <si>
    <t>2018EX06234</t>
  </si>
  <si>
    <t xml:space="preserve">WHEAT PATRICK &amp; DONNA &amp; HARWOO      </t>
  </si>
  <si>
    <t xml:space="preserve">E 4 LLC                             </t>
  </si>
  <si>
    <t>2018EX06320</t>
  </si>
  <si>
    <t xml:space="preserve">LAUGHLIN DEVELOPMENT LLC            </t>
  </si>
  <si>
    <t>2018EX06406</t>
  </si>
  <si>
    <t>122401-4-001-2004</t>
  </si>
  <si>
    <t xml:space="preserve">SFR Perry Ave                       </t>
  </si>
  <si>
    <t xml:space="preserve">SHELTON MEGAN R B &amp; JAMES A         </t>
  </si>
  <si>
    <t xml:space="preserve">EDMONDSON DAVEN                     </t>
  </si>
  <si>
    <t>2018EX06452</t>
  </si>
  <si>
    <t>132401-3-142-2005</t>
  </si>
  <si>
    <t xml:space="preserve">831 Pacific -Parking lot            </t>
  </si>
  <si>
    <t xml:space="preserve">EAGLESON JUDITH E M ENTOR PERS      </t>
  </si>
  <si>
    <t xml:space="preserve">PACIFIC AVENUE PARTNERS LLC         </t>
  </si>
  <si>
    <t>2018EX06532</t>
  </si>
  <si>
    <t xml:space="preserve">JAPHET TYLER &amp; BAKKER ANNA          </t>
  </si>
  <si>
    <t>2018EX06601</t>
  </si>
  <si>
    <t>082401-4-051-2009</t>
  </si>
  <si>
    <t xml:space="preserve">6635 Harlow - Duplex                </t>
  </si>
  <si>
    <t xml:space="preserve">TAYLOR RAE PROPERTIES LLC           </t>
  </si>
  <si>
    <t xml:space="preserve">BOUCHER PATRICIA                    </t>
  </si>
  <si>
    <t>2018EX06711</t>
  </si>
  <si>
    <t>4787-000-015-0004</t>
  </si>
  <si>
    <t xml:space="preserve">Southworth Grocery &amp; Post Office    </t>
  </si>
  <si>
    <t xml:space="preserve">FREDS BEST ONE LLC                  </t>
  </si>
  <si>
    <t xml:space="preserve">GREENLAND INDUSTRIES LLC            </t>
  </si>
  <si>
    <t>2018EX06842</t>
  </si>
  <si>
    <t>102601-4-038-2001</t>
  </si>
  <si>
    <t xml:space="preserve">BL N end of Viking Way              </t>
  </si>
  <si>
    <t xml:space="preserve">CASTILLO TOMAS H &amp; JULIET T         </t>
  </si>
  <si>
    <t xml:space="preserve">JAMES B MORRISON FAMILY LLC         </t>
  </si>
  <si>
    <t>2018EX06865</t>
  </si>
  <si>
    <t>4650-015-007-0006</t>
  </si>
  <si>
    <t xml:space="preserve">Casey and Casey                     </t>
  </si>
  <si>
    <t xml:space="preserve">PO--NMU Nbhd Mix Use          </t>
  </si>
  <si>
    <t xml:space="preserve">CASEY GERALD L &amp; LAURA M            </t>
  </si>
  <si>
    <t xml:space="preserve">RECK BAHAT HOLDINGS LLC             </t>
  </si>
  <si>
    <t>2018EX06886</t>
  </si>
  <si>
    <t>152601-1-084-2005</t>
  </si>
  <si>
    <t xml:space="preserve">Poulsbo Mini Storage, Apartments    </t>
  </si>
  <si>
    <t xml:space="preserve">POULSBO MINI STORAGE LLC            </t>
  </si>
  <si>
    <t xml:space="preserve">KLINGER REVERSE LLC                 </t>
  </si>
  <si>
    <t>2018EX06932</t>
  </si>
  <si>
    <t>362501-3-019-2007</t>
  </si>
  <si>
    <t xml:space="preserve">Alive Church                        </t>
  </si>
  <si>
    <t xml:space="preserve">ROLLMAN BLAYNE &amp; PATRICIA           </t>
  </si>
  <si>
    <t xml:space="preserve">ALIVE CHURCH                        </t>
  </si>
  <si>
    <t>2018EX06939</t>
  </si>
  <si>
    <t>262502-2-125-2001</t>
  </si>
  <si>
    <t xml:space="preserve">Ericksen Office Bldg                </t>
  </si>
  <si>
    <t xml:space="preserve">AMD MJM BAINBRIDGE BLDG LLC         </t>
  </si>
  <si>
    <t xml:space="preserve">MCGEHEE PROPERTIES LLC              </t>
  </si>
  <si>
    <t>2018EX07011</t>
  </si>
  <si>
    <t>362501-3-034-2008</t>
  </si>
  <si>
    <t xml:space="preserve">Kelly Moore Paints                  </t>
  </si>
  <si>
    <t xml:space="preserve">KELLY MOORE PAINT CO INC            </t>
  </si>
  <si>
    <t xml:space="preserve">NORTH 40 RESOURCES LLC              </t>
  </si>
  <si>
    <t>2018EX07038</t>
  </si>
  <si>
    <t>4059-009-011-0109</t>
  </si>
  <si>
    <t xml:space="preserve">Triplex Downtown Pt Orchard         </t>
  </si>
  <si>
    <t xml:space="preserve">WINEBARGER ESTEL C                  </t>
  </si>
  <si>
    <t xml:space="preserve">HART DEBRA                          </t>
  </si>
  <si>
    <t>2018EX07101</t>
  </si>
  <si>
    <t>172501-3-101-2009</t>
  </si>
  <si>
    <t xml:space="preserve">BL - on Provost                     </t>
  </si>
  <si>
    <t xml:space="preserve">EAW HOLDINGS LLC                    </t>
  </si>
  <si>
    <t xml:space="preserve">PACIFIC STORAGE PARTNERS LLC        </t>
  </si>
  <si>
    <t>2018EX07277</t>
  </si>
  <si>
    <t>8164-015-009-0004</t>
  </si>
  <si>
    <t xml:space="preserve">T-Hangar B15-9 (Bld Only)           </t>
  </si>
  <si>
    <t xml:space="preserve">KIMBLE MARILYN                      </t>
  </si>
  <si>
    <t>2018EX07328</t>
  </si>
  <si>
    <t>222401-4-125-2003</t>
  </si>
  <si>
    <t xml:space="preserve">BL on Charleston Bch Rd             </t>
  </si>
  <si>
    <t xml:space="preserve">LUTZ ARNOLD                         </t>
  </si>
  <si>
    <t xml:space="preserve">LUCAS CATHEY                        </t>
  </si>
  <si>
    <t>2018EX07395</t>
  </si>
  <si>
    <t>102601-2-070-2004</t>
  </si>
  <si>
    <t xml:space="preserve">Lot 5C  BL - College Marketplace    </t>
  </si>
  <si>
    <t xml:space="preserve">PL--BP                        </t>
  </si>
  <si>
    <t xml:space="preserve">OLHAVA INVESTMENT GROUP LLC &amp;       </t>
  </si>
  <si>
    <t xml:space="preserve">JACOBELLIS TONY &amp; SHAROB            </t>
  </si>
  <si>
    <t>2018EX07411</t>
  </si>
  <si>
    <t xml:space="preserve">APOGEE HOMES LLC                    </t>
  </si>
  <si>
    <t>2018EX07444</t>
  </si>
  <si>
    <t>262401-3-005-2006</t>
  </si>
  <si>
    <t xml:space="preserve">SFR converted to office             </t>
  </si>
  <si>
    <t xml:space="preserve">HACKER &amp; WILLIG INC PS              </t>
  </si>
  <si>
    <t xml:space="preserve">GRAY NATHAN &amp; EASTSIDE FUNDING LLC  </t>
  </si>
  <si>
    <t>2018EX07555</t>
  </si>
  <si>
    <t>362401-2-100-2000</t>
  </si>
  <si>
    <t xml:space="preserve">former A&amp;W                          </t>
  </si>
  <si>
    <t xml:space="preserve">GEHRING RICHARD D &amp; KARIN L         </t>
  </si>
  <si>
    <t xml:space="preserve">LUTFI ANTON &amp; ANNA                  </t>
  </si>
  <si>
    <t>2018EX07586</t>
  </si>
  <si>
    <t>8145-000-016-0001</t>
  </si>
  <si>
    <t xml:space="preserve">The Winslow Condo - Unit G          </t>
  </si>
  <si>
    <t xml:space="preserve">BLUE ORCA LLC                       </t>
  </si>
  <si>
    <t>2018EX07722</t>
  </si>
  <si>
    <t>3779-001-019-0109</t>
  </si>
  <si>
    <t xml:space="preserve">Happy Teriyaki                      </t>
  </si>
  <si>
    <t xml:space="preserve">BR--MR2 MultiFamily Res 1     </t>
  </si>
  <si>
    <t xml:space="preserve">SKH &amp; GAS INC                       </t>
  </si>
  <si>
    <t xml:space="preserve">SUSHI ROCK LLC                      </t>
  </si>
  <si>
    <t>2018EX07759</t>
  </si>
  <si>
    <t>222301-2-011-1007</t>
  </si>
  <si>
    <t xml:space="preserve">BL NW of Hwy 3, South of Lk Flora   </t>
  </si>
  <si>
    <t xml:space="preserve">JAMES JOHN DALE PERSONAL REP        </t>
  </si>
  <si>
    <t xml:space="preserve">LEAF INDUSTRIAL LLC                 </t>
  </si>
  <si>
    <t>2018EX07783</t>
  </si>
  <si>
    <t xml:space="preserve">MINASYAN DAVID &amp; ADDINGTON NIC      </t>
  </si>
  <si>
    <t xml:space="preserve">CARDENAS LAZARO &amp; MELISSA           </t>
  </si>
  <si>
    <t>2018EX07873</t>
  </si>
  <si>
    <t>4114-006-004-0008</t>
  </si>
  <si>
    <t xml:space="preserve">2- SFR- 285 Shannon Dr              </t>
  </si>
  <si>
    <t xml:space="preserve">MAIRE LOUIS PAUL &amp; STARK LORNA      </t>
  </si>
  <si>
    <t xml:space="preserve">EAGLE HARBOR COTTAGES LLC           </t>
  </si>
  <si>
    <t>2018EX07963</t>
  </si>
  <si>
    <t>3965-000-169-0103</t>
  </si>
  <si>
    <t xml:space="preserve">SFR corner Hemlock &amp; John           </t>
  </si>
  <si>
    <t xml:space="preserve">AZTEC FORECLOSURE CORPORATION       </t>
  </si>
  <si>
    <t xml:space="preserve">NATIONSTAR MORTGAGE LLC             </t>
  </si>
  <si>
    <t>2018EX07983</t>
  </si>
  <si>
    <t>082501-4-015-2003</t>
  </si>
  <si>
    <t xml:space="preserve">MAP Ltd                             </t>
  </si>
  <si>
    <t xml:space="preserve">MDC PARTNERS                        </t>
  </si>
  <si>
    <t>2018EX08046</t>
  </si>
  <si>
    <t>3966-004-003-0005</t>
  </si>
  <si>
    <t xml:space="preserve">BL - Proposed 3,984 SF Med Ofc      </t>
  </si>
  <si>
    <t xml:space="preserve">FORSTER WILLIAM &amp; RITA              </t>
  </si>
  <si>
    <t xml:space="preserve">SIMPLY HEAR LLC                     </t>
  </si>
  <si>
    <t>2018EX08084</t>
  </si>
  <si>
    <t xml:space="preserve">LOONEY WILLIAM A ESTATE ET AL       </t>
  </si>
  <si>
    <t>2018EX08089</t>
  </si>
  <si>
    <t>162501-2-073-2006</t>
  </si>
  <si>
    <t xml:space="preserve">Seattle Lighting Plaza              </t>
  </si>
  <si>
    <t xml:space="preserve">MYHRE PLAZA ASSOCIATES LLP          </t>
  </si>
  <si>
    <t xml:space="preserve">MYHRE PLACE SHOPPING PLAZA LLC      </t>
  </si>
  <si>
    <t>2018EX08217</t>
  </si>
  <si>
    <t>5549-000-008-0009</t>
  </si>
  <si>
    <t>Lot 8 - Future Towing &amp; Transmission</t>
  </si>
  <si>
    <t xml:space="preserve">WEST HILLS DEVELOPMENT LLC          </t>
  </si>
  <si>
    <t xml:space="preserve">CBH-1 LLC                           </t>
  </si>
  <si>
    <t>2018EX08248</t>
  </si>
  <si>
    <t>4463-000-011-0108</t>
  </si>
  <si>
    <t xml:space="preserve">Retail on Byron                     </t>
  </si>
  <si>
    <t xml:space="preserve">PHILLIPS JEFFREY W                  </t>
  </si>
  <si>
    <t xml:space="preserve">JPJN RETAIL LLC                     </t>
  </si>
  <si>
    <t>2018EX08250</t>
  </si>
  <si>
    <t>082401-4-091-2001</t>
  </si>
  <si>
    <t xml:space="preserve">Kitsap Lake Mini Storage            </t>
  </si>
  <si>
    <t xml:space="preserve">KITSAP LAKE STORAGE LLC             </t>
  </si>
  <si>
    <t xml:space="preserve">INTERCHANGE X LP                    </t>
  </si>
  <si>
    <t>2018EX08325</t>
  </si>
  <si>
    <t xml:space="preserve">AZTEC FORECLOSURE CORP OF WA        </t>
  </si>
  <si>
    <t>2018EX08329</t>
  </si>
  <si>
    <t>FEDERAL NATIONAL MORTGAGE ASSOCIATIO</t>
  </si>
  <si>
    <t>2018EX08408</t>
  </si>
  <si>
    <t xml:space="preserve">MOODY SANDRA                        </t>
  </si>
  <si>
    <t>2018EX08410</t>
  </si>
  <si>
    <t>312602-2-002-2001</t>
  </si>
  <si>
    <t xml:space="preserve">Concrete Batch Plant                </t>
  </si>
  <si>
    <t>2018EX08438</t>
  </si>
  <si>
    <t>212401-2-127-2006</t>
  </si>
  <si>
    <t xml:space="preserve">Blanchard Auto Electric             </t>
  </si>
  <si>
    <t xml:space="preserve">CLAYTON DIANE                       </t>
  </si>
  <si>
    <t xml:space="preserve">SHORE DRIVE ENTERPRISES LLC         </t>
  </si>
  <si>
    <t>2018EX08485</t>
  </si>
  <si>
    <t>242501-3-001-2001</t>
  </si>
  <si>
    <t xml:space="preserve">Goldens MHP                         </t>
  </si>
  <si>
    <t xml:space="preserve">GOLDEN LEE E &amp; BURLINGAME KAY       </t>
  </si>
  <si>
    <t xml:space="preserve">GOLDEN MHP LLC                      </t>
  </si>
  <si>
    <t>2018EX08580</t>
  </si>
  <si>
    <t>102601-2-069-2007</t>
  </si>
  <si>
    <t xml:space="preserve">Lot 5B  BL - College Marketplace    </t>
  </si>
  <si>
    <t xml:space="preserve">CMP INVESTMENT GROUP LLC            </t>
  </si>
  <si>
    <t xml:space="preserve">AMERICAN PROPERTY LLC               </t>
  </si>
  <si>
    <t>2018EX08603</t>
  </si>
  <si>
    <t>3808-003-001-0001</t>
  </si>
  <si>
    <t xml:space="preserve">6 Units @ Burwell &amp; Olympic         </t>
  </si>
  <si>
    <t xml:space="preserve">FRANCO BRENDA L                     </t>
  </si>
  <si>
    <t>STATE OF WASHINGTON DEPT OF TRANSPOR</t>
  </si>
  <si>
    <t>2018EX08778</t>
  </si>
  <si>
    <t>052302-3-008-2008</t>
  </si>
  <si>
    <t xml:space="preserve">Long Lake Community Club            </t>
  </si>
  <si>
    <t xml:space="preserve">LONG LAKE COMMUNITY CLUB            </t>
  </si>
  <si>
    <t xml:space="preserve">KNIGHTS OF PYTHIAS SIDNEY LODGE #85 </t>
  </si>
  <si>
    <t>2018EX08887</t>
  </si>
  <si>
    <t>352501-4-035-2006</t>
  </si>
  <si>
    <t xml:space="preserve">Proposed Roseway Ln Condos          </t>
  </si>
  <si>
    <t xml:space="preserve">FORBES LOIS B ESTATE                </t>
  </si>
  <si>
    <t xml:space="preserve">SEACHORD RAQUEL &amp; MICHAEL           </t>
  </si>
  <si>
    <t>2018EX08907</t>
  </si>
  <si>
    <t>4458-007-011-0001</t>
  </si>
  <si>
    <t xml:space="preserve">Broughton Law Group                 </t>
  </si>
  <si>
    <t xml:space="preserve">BROUGHTON WILLIAM H                 </t>
  </si>
  <si>
    <t xml:space="preserve">HRH PROPERTIES LLC                  </t>
  </si>
  <si>
    <t>2018EX08975</t>
  </si>
  <si>
    <t xml:space="preserve">LOPEZ BRENDA &amp; CASTRO VICTOR M      </t>
  </si>
  <si>
    <t>2018EX08995</t>
  </si>
  <si>
    <t>202502-1-078-2006</t>
  </si>
  <si>
    <t xml:space="preserve">Modern Collision Rebuild            </t>
  </si>
  <si>
    <t xml:space="preserve">STROM PROPERTY MANAGEMENT LLC       </t>
  </si>
  <si>
    <t xml:space="preserve">STROM BROTHERS LLC                  </t>
  </si>
  <si>
    <t>2018EX09076</t>
  </si>
  <si>
    <t>042502-4-020-2009</t>
  </si>
  <si>
    <t xml:space="preserve">Visual Apex                         </t>
  </si>
  <si>
    <t xml:space="preserve">SPARTAN ENTERPRISES LLC             </t>
  </si>
  <si>
    <t xml:space="preserve">KING TED W &amp; KRISTINA M             </t>
  </si>
  <si>
    <t>2018EX09124</t>
  </si>
  <si>
    <t>102501-3-052-2005</t>
  </si>
  <si>
    <t xml:space="preserve">CSWG - Ridgetop &amp; Tahoe             </t>
  </si>
  <si>
    <t xml:space="preserve">SJD LEE CORP                        </t>
  </si>
  <si>
    <t xml:space="preserve">ROYAL SUMIT LLC                     </t>
  </si>
  <si>
    <t>2018EX09289</t>
  </si>
  <si>
    <t>4458-016-001-0202</t>
  </si>
  <si>
    <t xml:space="preserve">Waddell &amp; Reed Office Suites 3 of 4 </t>
  </si>
  <si>
    <t xml:space="preserve">BROUGHTON WILLIAM H &amp; RUCKER R      </t>
  </si>
  <si>
    <t xml:space="preserve">PARKER ARK HOLDINGS LLC             </t>
  </si>
  <si>
    <t>2018EX09308</t>
  </si>
  <si>
    <t xml:space="preserve">Silverdale-COM                </t>
  </si>
  <si>
    <t>332601-3-008-2002</t>
  </si>
  <si>
    <t xml:space="preserve">Clear Creek MHP                     </t>
  </si>
  <si>
    <t xml:space="preserve">ESSENCE HOLDINGS LIMITED PARNE      </t>
  </si>
  <si>
    <t xml:space="preserve">CLEAR CREEK MHP LLC                 </t>
  </si>
  <si>
    <t>2018EX09364</t>
  </si>
  <si>
    <t xml:space="preserve">CONWAY COTTER C SUCCESSOR TRUS      </t>
  </si>
  <si>
    <t xml:space="preserve">1801 CATALINA LLC                   </t>
  </si>
  <si>
    <t>2018EX09381</t>
  </si>
  <si>
    <t>8070-001-032-0008</t>
  </si>
  <si>
    <t xml:space="preserve">WITHAM CHARLES &amp; THELMA M           </t>
  </si>
  <si>
    <t xml:space="preserve">HOLM CHRISTIAN ANDREAS              </t>
  </si>
  <si>
    <t>2018EX09498</t>
  </si>
  <si>
    <t>272501-1-020-2009</t>
  </si>
  <si>
    <t xml:space="preserve">Family of God Lutheran Church       </t>
  </si>
  <si>
    <t xml:space="preserve">FAMILY OF GOD LUTHERAN CHURCH       </t>
  </si>
  <si>
    <t xml:space="preserve">ANGLICAN CHURCH OF ST CHARLES       </t>
  </si>
  <si>
    <t>2018EX09519</t>
  </si>
  <si>
    <t xml:space="preserve">136- 40-49 living units       </t>
  </si>
  <si>
    <t>312402-1-051-2005</t>
  </si>
  <si>
    <t xml:space="preserve">Conifer Ridge Sr. Apartments        </t>
  </si>
  <si>
    <t xml:space="preserve">CONIFER RIDGE ASSOCIATES LP         </t>
  </si>
  <si>
    <t xml:space="preserve">SAG PRESERVATION PORTFOLIO 1 LLP    </t>
  </si>
  <si>
    <t>2018EX09549</t>
  </si>
  <si>
    <t>102601-4-045-2002</t>
  </si>
  <si>
    <t xml:space="preserve">Lot 3J  BL College Marketplace      </t>
  </si>
  <si>
    <t>2018EX09585</t>
  </si>
  <si>
    <t>COVE DEBT FREE WASHINGTON PHARMACY D</t>
  </si>
  <si>
    <t>2018EX09598</t>
  </si>
  <si>
    <t xml:space="preserve">GLACIER NORTHWEST INC               </t>
  </si>
  <si>
    <t>2018EX09622</t>
  </si>
  <si>
    <t>8056-001-037-0001</t>
  </si>
  <si>
    <t xml:space="preserve">Winslow Wharf A-37, 46 linear ft.   </t>
  </si>
  <si>
    <t xml:space="preserve">SING JEANNE M                       </t>
  </si>
  <si>
    <t xml:space="preserve">SPILLINGER RALPH S &amp; JACQUES ROBERT </t>
  </si>
  <si>
    <t>2018EX09679</t>
  </si>
  <si>
    <t>272701-4-076-2004</t>
  </si>
  <si>
    <t xml:space="preserve">BL E of Twelve Trees Ln             </t>
  </si>
  <si>
    <t xml:space="preserve">NILSEN BRUCE L &amp; LYNDA A            </t>
  </si>
  <si>
    <t xml:space="preserve">HILL LOGISTICS LLC                  </t>
  </si>
  <si>
    <t>2018EX09703</t>
  </si>
  <si>
    <t>8145-000-017-0000</t>
  </si>
  <si>
    <t xml:space="preserve">The Winslow Condo - Unit H          </t>
  </si>
  <si>
    <t xml:space="preserve">MATT 7:25 LLC                       </t>
  </si>
  <si>
    <t>2018EX09732</t>
  </si>
  <si>
    <t xml:space="preserve">PINE RIDGE PARTNERS LLC             </t>
  </si>
  <si>
    <t>2018EX09775</t>
  </si>
  <si>
    <t xml:space="preserve">2200 NW MYHRE RD LLC                </t>
  </si>
  <si>
    <t>2018EX09788</t>
  </si>
  <si>
    <t xml:space="preserve">EXTRA ROOMO SELF STORAGE            </t>
  </si>
  <si>
    <t>2018EX09825</t>
  </si>
  <si>
    <t>022301-4-042-2008</t>
  </si>
  <si>
    <t xml:space="preserve">MH on Ramsey                        </t>
  </si>
  <si>
    <t xml:space="preserve">TANNER RUSSELL                      </t>
  </si>
  <si>
    <t xml:space="preserve">POOP FUND LLC                       </t>
  </si>
  <si>
    <t>2018EX09834</t>
  </si>
  <si>
    <t>8070-002-014-0008</t>
  </si>
  <si>
    <t xml:space="preserve">LAWSON ALVIN E &amp; JUDITH A           </t>
  </si>
  <si>
    <t xml:space="preserve">HANKINS TODD &amp; HEIDI                </t>
  </si>
  <si>
    <t>2018EX09845</t>
  </si>
  <si>
    <t>272502-1-015-2005</t>
  </si>
  <si>
    <t xml:space="preserve">SFR on Madison Ave N                </t>
  </si>
  <si>
    <t xml:space="preserve">ROGERS IDA M &amp; ROGERS JOHN C        </t>
  </si>
  <si>
    <t xml:space="preserve">THOMPSON NICHOLAS &amp; CARDENAS LAURA  </t>
  </si>
  <si>
    <t>2018EX09847</t>
  </si>
  <si>
    <t>152401-3-195-2009</t>
  </si>
  <si>
    <t xml:space="preserve">former supermarket, discount        </t>
  </si>
  <si>
    <t xml:space="preserve">GOLDEN OYSTER BAY LLC               </t>
  </si>
  <si>
    <t xml:space="preserve">OYSTER BAY BREMERTON LLC            </t>
  </si>
  <si>
    <t>2018EX09874</t>
  </si>
  <si>
    <t xml:space="preserve">ELLIOTT BAY HEALTHCARE REALTY       </t>
  </si>
  <si>
    <t xml:space="preserve">BROADSTONE HMC WASHINGTON LLC       </t>
  </si>
  <si>
    <t>2018EX09907</t>
  </si>
  <si>
    <t>4230-001-013-0007</t>
  </si>
  <si>
    <t xml:space="preserve">Retail Front St                     </t>
  </si>
  <si>
    <t xml:space="preserve">ALERA MANAGEMENT GROUP LLC          </t>
  </si>
  <si>
    <t xml:space="preserve">WLB LLC                             </t>
  </si>
  <si>
    <t>2018EX09959</t>
  </si>
  <si>
    <t xml:space="preserve">HALE MICHAEL W &amp; KATHLEEN W         </t>
  </si>
  <si>
    <t>2018EX09998</t>
  </si>
  <si>
    <t>8070-003-028-0000</t>
  </si>
  <si>
    <t xml:space="preserve">TLAM THOMAS ELVIN ESTATE &amp;          </t>
  </si>
  <si>
    <t xml:space="preserve">TRISE DAVID R                       </t>
  </si>
  <si>
    <t>2018EX10025</t>
  </si>
  <si>
    <t>8216-000-106-0006</t>
  </si>
  <si>
    <t xml:space="preserve">Waterfront offices- Unit 106        </t>
  </si>
  <si>
    <t xml:space="preserve">BYRON STREET PROPERTIES LLC         </t>
  </si>
  <si>
    <t xml:space="preserve">KLIPSPRINGER INVESTMENTS LLC        </t>
  </si>
  <si>
    <t>2018EX10033</t>
  </si>
  <si>
    <t>3787-000-016-0203</t>
  </si>
  <si>
    <t xml:space="preserve">309 Kitsap Way - Emperor's Palace   </t>
  </si>
  <si>
    <t xml:space="preserve">FORRESTER JOYCE H                   </t>
  </si>
  <si>
    <t xml:space="preserve">LUONG LEANN                         </t>
  </si>
  <si>
    <t>2018EX10066</t>
  </si>
  <si>
    <t>4053-001-009-0007</t>
  </si>
  <si>
    <t xml:space="preserve">Missionary Baptist Church           </t>
  </si>
  <si>
    <t xml:space="preserve">LIVING HOPE COMMUNITY BAPTIST       </t>
  </si>
  <si>
    <t xml:space="preserve">PNR PROPERTIES LLC                  </t>
  </si>
  <si>
    <t>2019EX00002</t>
  </si>
  <si>
    <t>162401-4-058-2002</t>
  </si>
  <si>
    <t xml:space="preserve">Sound Glass &amp; Oceaneering           </t>
  </si>
  <si>
    <t xml:space="preserve">DICK CAMPBELL WAREHOUSE LLC &amp;       </t>
  </si>
  <si>
    <t xml:space="preserve">RICHARD SCHEFSKY LLC                </t>
  </si>
  <si>
    <t>2019EX00013</t>
  </si>
  <si>
    <t xml:space="preserve">509- Other comml condo        </t>
  </si>
  <si>
    <t>8508-000-000-0109</t>
  </si>
  <si>
    <t xml:space="preserve">Viking Park MHP and 1 SFR           </t>
  </si>
  <si>
    <t xml:space="preserve">PL--RH                        </t>
  </si>
  <si>
    <t xml:space="preserve">VIKING PARK INCORPORATED            </t>
  </si>
  <si>
    <t xml:space="preserve">VALHALLA LLC                        </t>
  </si>
  <si>
    <t>2019EX00023</t>
  </si>
  <si>
    <t>4650-012-003-0007</t>
  </si>
  <si>
    <t xml:space="preserve">BL Bay &amp; Frederick Ave              </t>
  </si>
  <si>
    <t xml:space="preserve">ZIMMERMAN DOUGLAS R                 </t>
  </si>
  <si>
    <t xml:space="preserve">SW PO C LLC                         </t>
  </si>
  <si>
    <t>2019EX00037</t>
  </si>
  <si>
    <t xml:space="preserve">TEED ALAN H &amp; JOAN                  </t>
  </si>
  <si>
    <t>2019EX00173</t>
  </si>
  <si>
    <t>142501-2-019-2005</t>
  </si>
  <si>
    <t xml:space="preserve">Central Valley Texaco               </t>
  </si>
  <si>
    <t xml:space="preserve">IJ 2013 INC                         </t>
  </si>
  <si>
    <t>2019EX00174</t>
  </si>
  <si>
    <t>172501-4-078-2006</t>
  </si>
  <si>
    <t xml:space="preserve">Kinder Care - Silverdale            </t>
  </si>
  <si>
    <t xml:space="preserve">NPC LLC DBA KC PROPCO LLC           </t>
  </si>
  <si>
    <t xml:space="preserve">MDC COAST 15 LLC                    </t>
  </si>
  <si>
    <t>2019EX00175</t>
  </si>
  <si>
    <t>252501-2-006-2007</t>
  </si>
  <si>
    <t xml:space="preserve">Kindercare - State Hwy 303          </t>
  </si>
  <si>
    <t xml:space="preserve">MDC COAST LLC                       </t>
  </si>
  <si>
    <t>2019EX00283</t>
  </si>
  <si>
    <t>172501-1-065-2007</t>
  </si>
  <si>
    <t xml:space="preserve">BL Fronting Randal Way W of Target  </t>
  </si>
  <si>
    <t xml:space="preserve">THE SALVATION ARMY                  </t>
  </si>
  <si>
    <t>2019EX00286</t>
  </si>
  <si>
    <t xml:space="preserve">BAIR CHARLES E &amp; PATRCIA R          </t>
  </si>
  <si>
    <t xml:space="preserve">SAFARI ELECTRIC LLC                 </t>
  </si>
  <si>
    <t>2019EX00287</t>
  </si>
  <si>
    <t>362501-3-035-2007</t>
  </si>
  <si>
    <t xml:space="preserve">Ambrosia Catering                   </t>
  </si>
  <si>
    <t xml:space="preserve">BAIR CHARLES E &amp; PATRICIA R &amp;       </t>
  </si>
  <si>
    <t xml:space="preserve">SANDEFUR TONY D                     </t>
  </si>
  <si>
    <t>2019EX00328</t>
  </si>
  <si>
    <t>4650-002-001-0109</t>
  </si>
  <si>
    <t xml:space="preserve">SFR Rental West St                  </t>
  </si>
  <si>
    <t xml:space="preserve">COOKSON MARGARET TRUSTEE            </t>
  </si>
  <si>
    <t xml:space="preserve">FISCHER RENTAL PROPERTIES LLC       </t>
  </si>
  <si>
    <t>2019EX00329</t>
  </si>
  <si>
    <t>4650-002-004-0007</t>
  </si>
  <si>
    <t xml:space="preserve">Recognition Plus &amp; 2nd story apts   </t>
  </si>
  <si>
    <t>2019EX00336</t>
  </si>
  <si>
    <t>8216-000-201-0000</t>
  </si>
  <si>
    <t xml:space="preserve">Waterfront offices- Unit 201        </t>
  </si>
  <si>
    <t xml:space="preserve">SUITE 201 LLC                       </t>
  </si>
  <si>
    <t>2019EX00363</t>
  </si>
  <si>
    <t>3734-010-032-0008</t>
  </si>
  <si>
    <t xml:space="preserve">630 N Callow Retail Storefront      </t>
  </si>
  <si>
    <t xml:space="preserve">DEGARIMORE JOHN O IND &amp; PERS R      </t>
  </si>
  <si>
    <t xml:space="preserve">630 CALLOW LLC                      </t>
  </si>
  <si>
    <t>2019EX00400</t>
  </si>
  <si>
    <t>352501-4-026-2007</t>
  </si>
  <si>
    <t xml:space="preserve">SFR fronting Brwnsvle Hwy W of FM   </t>
  </si>
  <si>
    <t xml:space="preserve">MERIA ROBERT B &amp; SUSIE B            </t>
  </si>
  <si>
    <t xml:space="preserve">CABIAL REYMUNDO D &amp; CRISELDA L      </t>
  </si>
  <si>
    <t>2019EX00474</t>
  </si>
  <si>
    <t>3734-011-010-0002</t>
  </si>
  <si>
    <t xml:space="preserve">623 N Callow Retail Storefront      </t>
  </si>
  <si>
    <t xml:space="preserve">SWANSON CHESTER ANDREW DR TRUS      </t>
  </si>
  <si>
    <t xml:space="preserve">FLEMISTER RONALD D &amp; FAYE E         </t>
  </si>
  <si>
    <t>2019EX00478</t>
  </si>
  <si>
    <t>3718-017-024-0003</t>
  </si>
  <si>
    <t xml:space="preserve">Lawson Garage                       </t>
  </si>
  <si>
    <t xml:space="preserve">TWELVE TWENTY-EIGHT ENTERPRISE      </t>
  </si>
  <si>
    <t xml:space="preserve">ROGERS BRENT &amp; FEATHER REBECCA      </t>
  </si>
  <si>
    <t>2019EX00480</t>
  </si>
  <si>
    <t>252501-3-004-2007</t>
  </si>
  <si>
    <t xml:space="preserve">Starbucks and Domino's Brnsville Hw </t>
  </si>
  <si>
    <t xml:space="preserve">BENTLEY SB LLC                      </t>
  </si>
  <si>
    <t xml:space="preserve">HSW INVESTMENTS LLC                 </t>
  </si>
  <si>
    <t>2019EX00490</t>
  </si>
  <si>
    <t>3918-002-016-0003</t>
  </si>
  <si>
    <t xml:space="preserve">Thrive Yoga-SFR                     </t>
  </si>
  <si>
    <t xml:space="preserve">HIKE ROSS                           </t>
  </si>
  <si>
    <t xml:space="preserve">PNW ACQUISITIONS LLC                </t>
  </si>
  <si>
    <t>2019EX00499</t>
  </si>
  <si>
    <t>3752-003-031-0001</t>
  </si>
  <si>
    <t xml:space="preserve">Wicked Auto Works &amp; Retail Bldg     </t>
  </si>
  <si>
    <t xml:space="preserve">NGUYEN CHIEN &amp; TA HANG              </t>
  </si>
  <si>
    <t>2019EX00517</t>
  </si>
  <si>
    <t xml:space="preserve">483- Water systems            </t>
  </si>
  <si>
    <t xml:space="preserve">Port Madison Plat-COM         </t>
  </si>
  <si>
    <t>4167-000-239-0004</t>
  </si>
  <si>
    <t xml:space="preserve">Port Madison Water Co               </t>
  </si>
  <si>
    <t xml:space="preserve">PORT MADISON WATER COMPANY          </t>
  </si>
  <si>
    <t>2019EX00583</t>
  </si>
  <si>
    <t xml:space="preserve">Seattle - Blake Vw WF-COM     </t>
  </si>
  <si>
    <t>4522-003-002-0003</t>
  </si>
  <si>
    <t xml:space="preserve">TURK ROBERT J                       </t>
  </si>
  <si>
    <t xml:space="preserve">DUNHAM LUKE H &amp; TIFFANY J           </t>
  </si>
  <si>
    <t>2019EX00605</t>
  </si>
  <si>
    <t>292702-1-068-2007</t>
  </si>
  <si>
    <t xml:space="preserve">MADLER RONALD J &amp; DEANIE L          </t>
  </si>
  <si>
    <t xml:space="preserve">BRYANT DAVID &amp; JACQUELYN            </t>
  </si>
  <si>
    <t>2019EX00657</t>
  </si>
  <si>
    <t>292702-1-069-2006</t>
  </si>
  <si>
    <t xml:space="preserve">BLTN2 LLC                           </t>
  </si>
  <si>
    <t>2019EX00667</t>
  </si>
  <si>
    <t>8164-015-001-0002</t>
  </si>
  <si>
    <t xml:space="preserve">Sawtooth Hangar B15-1 (Bld Only)    </t>
  </si>
  <si>
    <t xml:space="preserve">HOLT FAMILY LLC                     </t>
  </si>
  <si>
    <t xml:space="preserve">WELLNER CONNIE L &amp; THOMAS B         </t>
  </si>
  <si>
    <t>2019EX00672</t>
  </si>
  <si>
    <t xml:space="preserve">HIGHLAND 2 LLC &amp; EMI RIDGETOP LLC &amp; </t>
  </si>
  <si>
    <t>2019EX00686</t>
  </si>
  <si>
    <t>352501-1-130-2006</t>
  </si>
  <si>
    <t xml:space="preserve">2 tenant bldg, Dawn Rd              </t>
  </si>
  <si>
    <t xml:space="preserve">MYERS CONNIE L                      </t>
  </si>
  <si>
    <t xml:space="preserve">THE BAND LLC                        </t>
  </si>
  <si>
    <t>2019EX00804</t>
  </si>
  <si>
    <t>292702-1-064-2001</t>
  </si>
  <si>
    <t xml:space="preserve">Run Dog Run                         </t>
  </si>
  <si>
    <t xml:space="preserve">BISON CAPITAL INVESTMENTS LLC       </t>
  </si>
  <si>
    <t xml:space="preserve">JELLA PROPERTIES LLC                </t>
  </si>
  <si>
    <t>2019EX00909</t>
  </si>
  <si>
    <t>102601-4-046-2001</t>
  </si>
  <si>
    <t xml:space="preserve">Lot 3K  BL - College Marketplace    </t>
  </si>
  <si>
    <t xml:space="preserve">SILVER PINES LLC                    </t>
  </si>
  <si>
    <t>2019EX00936</t>
  </si>
  <si>
    <t>2019EX00953</t>
  </si>
  <si>
    <t>322402-2-035-2003</t>
  </si>
  <si>
    <t xml:space="preserve">Port Orchard Glass                  </t>
  </si>
  <si>
    <t xml:space="preserve">HIGGINS GARY G TRUSTEE              </t>
  </si>
  <si>
    <t>2019EX01042</t>
  </si>
  <si>
    <t>272702-2-044-2006</t>
  </si>
  <si>
    <t xml:space="preserve">Kingston Rite Aid SE/Georges Corner </t>
  </si>
  <si>
    <t xml:space="preserve">3N KINGSTON LLC                     </t>
  </si>
  <si>
    <t xml:space="preserve">DJM NNN FUND II HOLDINGS ONE LLC    </t>
  </si>
  <si>
    <t>2019EX01063</t>
  </si>
  <si>
    <t>212401-2-077-2006</t>
  </si>
  <si>
    <t xml:space="preserve">BL-Future Werner Ind Park           </t>
  </si>
  <si>
    <t xml:space="preserve">LAURIER ENTERPRISES INC             </t>
  </si>
  <si>
    <t xml:space="preserve">GARDNER JAMES                       </t>
  </si>
  <si>
    <t>2019EX01088</t>
  </si>
  <si>
    <t>2019EX01115</t>
  </si>
  <si>
    <t>282401-1-080-2006</t>
  </si>
  <si>
    <t xml:space="preserve">The Panorama                        </t>
  </si>
  <si>
    <t xml:space="preserve">ADMIRALTY HEIGHTS LLC &amp; WEBB G      </t>
  </si>
  <si>
    <t xml:space="preserve">BRIXTON NSE ADMITALTY TIC OWNER LLC </t>
  </si>
  <si>
    <t>2019EX01119</t>
  </si>
  <si>
    <t>4230-001-005-0007</t>
  </si>
  <si>
    <t xml:space="preserve">Longship Marine                     </t>
  </si>
  <si>
    <t xml:space="preserve">MENTOR COMPANY LLC                  </t>
  </si>
  <si>
    <t>2019EX01139</t>
  </si>
  <si>
    <t>8070-002-033-0005</t>
  </si>
  <si>
    <t xml:space="preserve">LINAMAN J RANDALL &amp; DONNA M TR      </t>
  </si>
  <si>
    <t xml:space="preserve">RIEDNER MONIKA                      </t>
  </si>
  <si>
    <t>2019EX01180</t>
  </si>
  <si>
    <t>4230-001-012-0107</t>
  </si>
  <si>
    <t xml:space="preserve">Mixed Use Bld                       </t>
  </si>
  <si>
    <t xml:space="preserve">FIRE IRON LLC                       </t>
  </si>
  <si>
    <t>2019EX01191</t>
  </si>
  <si>
    <t>312402-3-012-2009</t>
  </si>
  <si>
    <t>Dominos/Strip Retail at Lund-Jackson</t>
  </si>
  <si>
    <t xml:space="preserve">SOFIE PHILLIPS 7525 LLC             </t>
  </si>
  <si>
    <t xml:space="preserve">DAN WOLTZ LLC                       </t>
  </si>
  <si>
    <t>2019EX01277</t>
  </si>
  <si>
    <t>4380-002-042-0107</t>
  </si>
  <si>
    <t xml:space="preserve">Eagle Harbor Properties Ind Park    </t>
  </si>
  <si>
    <t>THE GEO HALL FAMILY LIMITED LIABILIT</t>
  </si>
  <si>
    <t>2019EX01345</t>
  </si>
  <si>
    <t xml:space="preserve">PIPERBERRY LLC &amp; BLOC LLC           </t>
  </si>
  <si>
    <t xml:space="preserve">STEPHEN LLOYD PROPERTIES LLC        </t>
  </si>
  <si>
    <t>2019EX01576</t>
  </si>
  <si>
    <t>112301-2-013-2006</t>
  </si>
  <si>
    <t xml:space="preserve">Future S Sidney Bus PK Split Zoning </t>
  </si>
  <si>
    <t xml:space="preserve">BROWN RICHARD A &amp; DONNA L           </t>
  </si>
  <si>
    <t xml:space="preserve">BROWN RICHARD A &amp; DONNA L &amp;         </t>
  </si>
  <si>
    <t>2019EX01597</t>
  </si>
  <si>
    <t>3734-010-027-0005</t>
  </si>
  <si>
    <t xml:space="preserve">616-620 N Callow Store &amp; Pkg        </t>
  </si>
  <si>
    <t xml:space="preserve">MAURICE RICHARD E &amp; LESLIE Q        </t>
  </si>
  <si>
    <t xml:space="preserve">FELDMAN ROBERT DON &amp; FELDMAN BRITT  </t>
  </si>
  <si>
    <t>2019EX01606</t>
  </si>
  <si>
    <t>8061-004-004-0007</t>
  </si>
  <si>
    <t xml:space="preserve">Winlsow Green # 4Q                  </t>
  </si>
  <si>
    <t xml:space="preserve">BEODORO LLC                         </t>
  </si>
  <si>
    <t>2019EX01624</t>
  </si>
  <si>
    <t>4366-009-001-0000</t>
  </si>
  <si>
    <t xml:space="preserve">Triplex Pacific Ave                 </t>
  </si>
  <si>
    <t xml:space="preserve">BEYER JOSEPH L &amp; LISA R             </t>
  </si>
  <si>
    <t xml:space="preserve">MAXWELL JERAMIE &amp; ALISON            </t>
  </si>
  <si>
    <t>2019EX01778</t>
  </si>
  <si>
    <t>122401-1-128-2008</t>
  </si>
  <si>
    <t xml:space="preserve">CSWG Corner Perry &amp; Sheridan        </t>
  </si>
  <si>
    <t xml:space="preserve">THAI INVESTMENTS LLC                </t>
  </si>
  <si>
    <t xml:space="preserve">SHINGARA SINGH INC                  </t>
  </si>
  <si>
    <t>2019EX01838</t>
  </si>
  <si>
    <t xml:space="preserve">SPARKS MARK &amp; CYNTHIA TRUSTEE       </t>
  </si>
  <si>
    <t xml:space="preserve">WEISNER MICHAEL &amp; MICHELE           </t>
  </si>
  <si>
    <t>2019EX01843</t>
  </si>
  <si>
    <t>4230-002-005-0005</t>
  </si>
  <si>
    <t xml:space="preserve">Maritime Museum                     </t>
  </si>
  <si>
    <t xml:space="preserve">NILSEN CARL J PERSONAL REP &amp; N      </t>
  </si>
  <si>
    <t>2019EX01865</t>
  </si>
  <si>
    <t>232501-1-004-2003</t>
  </si>
  <si>
    <t xml:space="preserve">2 SFR's &amp; 2 Outblds on Brnsville hw </t>
  </si>
  <si>
    <t xml:space="preserve">H &amp; G INVESTORS INC                 </t>
  </si>
  <si>
    <t xml:space="preserve">JOINT CAPITAL LLC                   </t>
  </si>
  <si>
    <t>2019EX01907</t>
  </si>
  <si>
    <t>2019EX01987</t>
  </si>
  <si>
    <t>022401-1-106-2006</t>
  </si>
  <si>
    <t xml:space="preserve">Retail/Warehouse on Wheaton         </t>
  </si>
  <si>
    <t xml:space="preserve">EBP LLC                             </t>
  </si>
  <si>
    <t>2019EX02087</t>
  </si>
  <si>
    <t>8070-003-020-0008</t>
  </si>
  <si>
    <t xml:space="preserve">WALL NORMAN E &amp; CLARA J             </t>
  </si>
  <si>
    <t xml:space="preserve">PERKINS WILLIAM                     </t>
  </si>
  <si>
    <t>2019EX02126</t>
  </si>
  <si>
    <t>232601-2-274-2003</t>
  </si>
  <si>
    <t xml:space="preserve">Hostmark retirement apts            </t>
  </si>
  <si>
    <t xml:space="preserve">HOSTMARK VILLAGE COVE LLC           </t>
  </si>
  <si>
    <t xml:space="preserve">HOSTMARK INVESTORS LLC              </t>
  </si>
  <si>
    <t>2019EX02149</t>
  </si>
  <si>
    <t>262502-2-129-2007</t>
  </si>
  <si>
    <t xml:space="preserve">BL-corner of Wyatt and Madison      </t>
  </si>
  <si>
    <t>2019EX02159</t>
  </si>
  <si>
    <t>142601-3-048-2007</t>
  </si>
  <si>
    <t xml:space="preserve">Pho Kim Chi                         </t>
  </si>
  <si>
    <t xml:space="preserve">NGUYEN LAP &amp; VU CHI THI             </t>
  </si>
  <si>
    <t xml:space="preserve">JK EAGLE INVESTMENT LLC             </t>
  </si>
  <si>
    <t>2019EX02435</t>
  </si>
  <si>
    <t>342401-4-072-2002</t>
  </si>
  <si>
    <t>CSWG &amp; espresso site Tremont/SK Blvd</t>
  </si>
  <si>
    <t xml:space="preserve">KEIKOS ENTERPRISE INC               </t>
  </si>
  <si>
    <t xml:space="preserve">J A N ENTERPRISES                   </t>
  </si>
  <si>
    <t>2019EX02494</t>
  </si>
  <si>
    <t>3967-002-014-0104</t>
  </si>
  <si>
    <t xml:space="preserve">Office Cherry Court                 </t>
  </si>
  <si>
    <t xml:space="preserve">KSDC LLC                            </t>
  </si>
  <si>
    <t>2019EX02501</t>
  </si>
  <si>
    <t>192501-4-065-2009</t>
  </si>
  <si>
    <t xml:space="preserve">BL on east side of Dickey Rd        </t>
  </si>
  <si>
    <t xml:space="preserve">SAYAH RAYMOND &amp; NAWAL &amp;             </t>
  </si>
  <si>
    <t xml:space="preserve">CONLEE LLC                          </t>
  </si>
  <si>
    <t>2019EX02510</t>
  </si>
  <si>
    <t>5106-000-001-0001</t>
  </si>
  <si>
    <t xml:space="preserve">The Ridge Memory Care               </t>
  </si>
  <si>
    <t xml:space="preserve">WASHINGTON LESSOR - SILVERDALE      </t>
  </si>
  <si>
    <t>2019EX02528</t>
  </si>
  <si>
    <t>152501-3-088-2008</t>
  </si>
  <si>
    <t xml:space="preserve">Olympic NW Insurance                </t>
  </si>
  <si>
    <t xml:space="preserve">ARNOLD BERTHOLD K &amp; LINDA K TR      </t>
  </si>
  <si>
    <t>KITSAP COUNTY TRANSPORTATION BENEFIT</t>
  </si>
  <si>
    <t>2019EX02533</t>
  </si>
  <si>
    <t>262501-4-037-2005</t>
  </si>
  <si>
    <t xml:space="preserve">BL Proposed Corinthian Trade Schl   </t>
  </si>
  <si>
    <t xml:space="preserve">ROBINSON  AUDREY M &amp; LUMNT CHE      </t>
  </si>
  <si>
    <t>2019EX02554</t>
  </si>
  <si>
    <t xml:space="preserve">WASHINGTON MINI STORAGE LLC         </t>
  </si>
  <si>
    <t>2019EX02581</t>
  </si>
  <si>
    <t>3799-009-014-0004</t>
  </si>
  <si>
    <t xml:space="preserve">Memorial Lutheran Church            </t>
  </si>
  <si>
    <t xml:space="preserve">THE NORTHWEST DISTRICT OF THE       </t>
  </si>
  <si>
    <t xml:space="preserve">GRACE COMMUNITY PRESBYTERIAN CHURCH </t>
  </si>
  <si>
    <t>2019EX02631</t>
  </si>
  <si>
    <t>162501-3-080-2005</t>
  </si>
  <si>
    <t xml:space="preserve">Silverdale Eye/Aladdins Rest        </t>
  </si>
  <si>
    <t xml:space="preserve">NELSON HENRY D                      </t>
  </si>
  <si>
    <t xml:space="preserve">GENERATIONAL FREEDOM LLC            </t>
  </si>
  <si>
    <t>2019EX02648</t>
  </si>
  <si>
    <t>8190-000-003-0000</t>
  </si>
  <si>
    <t xml:space="preserve">Unit 3 Bohannon &amp; Miller Lawyers    </t>
  </si>
  <si>
    <t xml:space="preserve">10TH AVE CONDOMINIUM LLC            </t>
  </si>
  <si>
    <t xml:space="preserve">ZOTYK NICOLAEVICH DEJNEKA LLC       </t>
  </si>
  <si>
    <t>2019EX02683</t>
  </si>
  <si>
    <t>172501-3-021-2006</t>
  </si>
  <si>
    <t xml:space="preserve">Four Seasons Marine &amp; Kitsap Office </t>
  </si>
  <si>
    <t xml:space="preserve">TOUR SUPPORT SERVICES LLC           </t>
  </si>
  <si>
    <t>2019EX02704</t>
  </si>
  <si>
    <t>222402-3-002-2002</t>
  </si>
  <si>
    <t xml:space="preserve">Manchester Restaurant               </t>
  </si>
  <si>
    <t xml:space="preserve">CO--MVC                       </t>
  </si>
  <si>
    <t xml:space="preserve">H E R LLC                           </t>
  </si>
  <si>
    <t xml:space="preserve">BOARDWALK LLC                       </t>
  </si>
  <si>
    <t>2019EX02706</t>
  </si>
  <si>
    <t>8216-000-110-0000</t>
  </si>
  <si>
    <t xml:space="preserve">Waterfront offices- Unit 110        </t>
  </si>
  <si>
    <t xml:space="preserve">WIDEMAN DAVID D &amp; AMELIA T          </t>
  </si>
  <si>
    <t>2019EX02727</t>
  </si>
  <si>
    <t>4650-002-002-0009</t>
  </si>
  <si>
    <t xml:space="preserve">SFR West Ave                        </t>
  </si>
  <si>
    <t xml:space="preserve">HARBORSIDE WEST LLC                 </t>
  </si>
  <si>
    <t>STEWART ANNETTE M &amp; PRENTICE RICHARD</t>
  </si>
  <si>
    <t>2019EX02868</t>
  </si>
  <si>
    <t>8216-000-103-0009</t>
  </si>
  <si>
    <t xml:space="preserve">Waterfront offices- Unit 103        </t>
  </si>
  <si>
    <t xml:space="preserve">SUITE 103 LLC                       </t>
  </si>
  <si>
    <t>2019EX02938</t>
  </si>
  <si>
    <t xml:space="preserve">SPILLER JOHN W &amp; WALTERS MARIANNE M </t>
  </si>
  <si>
    <t>2019EX02998</t>
  </si>
  <si>
    <t>3718-005-028-0004</t>
  </si>
  <si>
    <t xml:space="preserve">Bri-Lor Building- Triplex           </t>
  </si>
  <si>
    <t xml:space="preserve">T &amp; B HOLDINGS LLC                  </t>
  </si>
  <si>
    <t xml:space="preserve">GORMAN KEVIN                        </t>
  </si>
  <si>
    <t>2019EX03007</t>
  </si>
  <si>
    <t xml:space="preserve">OOMBEAR EAST LLC                    </t>
  </si>
  <si>
    <t>2019EX03025</t>
  </si>
  <si>
    <t>8070-001-043-0005</t>
  </si>
  <si>
    <t xml:space="preserve">EDMUNDS JEFF &amp; KOLLEEN              </t>
  </si>
  <si>
    <t>CASTANON PAUL A &amp; MAGNUSON WILLIAM J</t>
  </si>
  <si>
    <t>2019EX03042</t>
  </si>
  <si>
    <t>082401-4-053-2007</t>
  </si>
  <si>
    <t xml:space="preserve">6711 Kitsap Wy - Chris Mutchler CPA </t>
  </si>
  <si>
    <t xml:space="preserve">WALTON STEPHEN D                    </t>
  </si>
  <si>
    <t xml:space="preserve">DAHLIA PROPERTY MANAGEMENT LLC      </t>
  </si>
  <si>
    <t>2019EX03170</t>
  </si>
  <si>
    <t>8070-005-016-0009</t>
  </si>
  <si>
    <t xml:space="preserve">KOHUTE JAMES A &amp; ROSALYN Y          </t>
  </si>
  <si>
    <t xml:space="preserve">PLANTZ DON &amp; WATFORD LOIS           </t>
  </si>
  <si>
    <t>2019EX03223</t>
  </si>
  <si>
    <t xml:space="preserve">551- MH Home sales lot        </t>
  </si>
  <si>
    <t>152601-4-023-2003</t>
  </si>
  <si>
    <t xml:space="preserve">Golden Homes, The Boat Co.          </t>
  </si>
  <si>
    <t xml:space="preserve">WINGER FAMILY LIMITED               </t>
  </si>
  <si>
    <t xml:space="preserve">VIKING WAY HOLDINGS LLC             </t>
  </si>
  <si>
    <t>2019EX03245</t>
  </si>
  <si>
    <t>212401-1-132-2001</t>
  </si>
  <si>
    <t>West Hills Gas &amp; Car Wash &amp; Espresso</t>
  </si>
  <si>
    <t xml:space="preserve">WEST HILLS GAS LLC &amp; WEST HILL      </t>
  </si>
  <si>
    <t xml:space="preserve">PUNJABI CASCADE INC                 </t>
  </si>
  <si>
    <t>2019EX03246</t>
  </si>
  <si>
    <t>152601-4-097-2004</t>
  </si>
  <si>
    <t xml:space="preserve">Poulsbo Cinema's / Act III Theatre  </t>
  </si>
  <si>
    <t xml:space="preserve">REALTY INCOME PROPERTY 10 LLC       </t>
  </si>
  <si>
    <t>2019EX03272</t>
  </si>
  <si>
    <t>142601-3-095-2009</t>
  </si>
  <si>
    <t xml:space="preserve">Pkg for Frontier Bank employees 081 </t>
  </si>
  <si>
    <t xml:space="preserve">MOLAMEAD LLC                        </t>
  </si>
  <si>
    <t xml:space="preserve">OLHAVA LLC &amp; JAMES A &amp; LINDA BRANDT </t>
  </si>
  <si>
    <t>2019EX03289</t>
  </si>
  <si>
    <t>362501-3-018-2008</t>
  </si>
  <si>
    <t xml:space="preserve">SFR on Franklin                     </t>
  </si>
  <si>
    <t xml:space="preserve">ANSON NELLIE M ESTATE               </t>
  </si>
  <si>
    <t xml:space="preserve">CABIAL REYMUNDO D &amp; CRISELDA        </t>
  </si>
  <si>
    <t>2019EX03400</t>
  </si>
  <si>
    <t>8070-001-025-0007</t>
  </si>
  <si>
    <t xml:space="preserve">HEWITSON CHARLES E &amp; CHRISTIE       </t>
  </si>
  <si>
    <t xml:space="preserve">SHIMKO MARTIN &amp; SHERI               </t>
  </si>
  <si>
    <t>2019EX03447</t>
  </si>
  <si>
    <t>8070-002-028-0002</t>
  </si>
  <si>
    <t xml:space="preserve">HASKINS JAMES HOWARD &amp; CAROL C      </t>
  </si>
  <si>
    <t xml:space="preserve">SHAY MEGAN &amp; SCOTT                  </t>
  </si>
  <si>
    <t>2019EX03448</t>
  </si>
  <si>
    <t>8055-002-014-0007</t>
  </si>
  <si>
    <t xml:space="preserve">Eagle Harbor Marina B-14  38 lf     </t>
  </si>
  <si>
    <t xml:space="preserve">LINDSEY MICHAEL E                   </t>
  </si>
  <si>
    <t xml:space="preserve">WISE ROBERT &amp; BLANKENSHIP DAVID     </t>
  </si>
  <si>
    <t>2019EX03497</t>
  </si>
  <si>
    <t>3806-004-028-0000</t>
  </si>
  <si>
    <t xml:space="preserve">GREEN JACK D                        </t>
  </si>
  <si>
    <t xml:space="preserve">HEMMINGSON GAVIN D                  </t>
  </si>
  <si>
    <t>2019EX03511</t>
  </si>
  <si>
    <t>362501-2-013-2005</t>
  </si>
  <si>
    <t xml:space="preserve">Skateland                           </t>
  </si>
  <si>
    <t xml:space="preserve">STEVENSON KAREN L &amp; JAMES R         </t>
  </si>
  <si>
    <t xml:space="preserve">5900 STATE HWY 303 LLC              </t>
  </si>
  <si>
    <t>2019EX03521</t>
  </si>
  <si>
    <t>262502-3-103-2005</t>
  </si>
  <si>
    <t xml:space="preserve">Office Building Winslow Way         </t>
  </si>
  <si>
    <t xml:space="preserve">BI--FTD                       </t>
  </si>
  <si>
    <t xml:space="preserve">WALDRIP SHIRLEY A                   </t>
  </si>
  <si>
    <t xml:space="preserve">701 WINSLOW LLC                     </t>
  </si>
  <si>
    <t>2019EX03533</t>
  </si>
  <si>
    <t>SANTA FE RIDGE APARTMENTS PROPERTY O</t>
  </si>
  <si>
    <t>2019EX03537</t>
  </si>
  <si>
    <t>4458-011-002-0004</t>
  </si>
  <si>
    <t xml:space="preserve">BAYSHORE BUILDING LLC               </t>
  </si>
  <si>
    <t xml:space="preserve">MKI II LLC                          </t>
  </si>
  <si>
    <t>2019EX03569</t>
  </si>
  <si>
    <t>162501-3-003-2009</t>
  </si>
  <si>
    <t xml:space="preserve">Hot Tequila Sports Bar &amp; Grill      </t>
  </si>
  <si>
    <t xml:space="preserve">RUCKER RICHARD L &amp; DEBRA L &amp;        </t>
  </si>
  <si>
    <t xml:space="preserve">88 PARTNERS LLC                     </t>
  </si>
  <si>
    <t>2019EX03618</t>
  </si>
  <si>
    <t>162401-3-155-2006</t>
  </si>
  <si>
    <t xml:space="preserve">Warehouse 101 Bruenn Ave            </t>
  </si>
  <si>
    <t xml:space="preserve">JJKJ PROPERTY LLC                   </t>
  </si>
  <si>
    <t>2019EX03733</t>
  </si>
  <si>
    <t>3918-003-018-0009</t>
  </si>
  <si>
    <t xml:space="preserve">Retail and Parking lot Manette      </t>
  </si>
  <si>
    <t xml:space="preserve">VARSITY LLC                         </t>
  </si>
  <si>
    <t xml:space="preserve">TA HAI D                            </t>
  </si>
  <si>
    <t>2019EX03746</t>
  </si>
  <si>
    <t>8070-002-030-0008</t>
  </si>
  <si>
    <t xml:space="preserve">MICKEL THOMAS J &amp; MCQUIRE PEGG      </t>
  </si>
  <si>
    <t xml:space="preserve">COURTIER CHARLES R &amp; LUCINDA J      </t>
  </si>
  <si>
    <t>2019EX03902</t>
  </si>
  <si>
    <t>3733-006-010-0003</t>
  </si>
  <si>
    <t>327 N Callow 2 Retail apts up + Whse</t>
  </si>
  <si>
    <t xml:space="preserve">WOODHEAD JERRY A                    </t>
  </si>
  <si>
    <t xml:space="preserve">CALLOW PARTNERS LLC                 </t>
  </si>
  <si>
    <t>2019EX04061</t>
  </si>
  <si>
    <t>012401-2-194-2008</t>
  </si>
  <si>
    <t xml:space="preserve">VENTURA PARTNERS LLC                </t>
  </si>
  <si>
    <t xml:space="preserve">OREILLY AUTO ENTERPRISES LLC        </t>
  </si>
  <si>
    <t>2019EX04098</t>
  </si>
  <si>
    <t>3902-001-014-0005</t>
  </si>
  <si>
    <t xml:space="preserve">Dog Groomer Retail-Manette          </t>
  </si>
  <si>
    <t xml:space="preserve">LIM MUN KUE &amp; MYUNG JA              </t>
  </si>
  <si>
    <t>KIM SUNG JIN &amp; SOMBUTJARERNSUK PAPHA</t>
  </si>
  <si>
    <t>2019EX04182</t>
  </si>
  <si>
    <t>362501-3-044-2006</t>
  </si>
  <si>
    <t xml:space="preserve">Best Choice Sound Storage           </t>
  </si>
  <si>
    <t xml:space="preserve">BJA KITSAPPARTNERS LLC              </t>
  </si>
  <si>
    <t>2019EX04340</t>
  </si>
  <si>
    <t xml:space="preserve">MYERS MARC E                        </t>
  </si>
  <si>
    <t>2019EX04374</t>
  </si>
  <si>
    <t xml:space="preserve">822- Veterinarian services    </t>
  </si>
  <si>
    <t>192501-1-022-2007</t>
  </si>
  <si>
    <t xml:space="preserve">Kitsap Humane Society               </t>
  </si>
  <si>
    <t xml:space="preserve">KITSAP HUMANE SOCIETY               </t>
  </si>
  <si>
    <t>2019EX04417</t>
  </si>
  <si>
    <t>362401-3-081-2001</t>
  </si>
  <si>
    <t xml:space="preserve">Staples Port Orchard                </t>
  </si>
  <si>
    <t xml:space="preserve">PIETROMONACO PORT ORCHARD LLC       </t>
  </si>
  <si>
    <t>2019EX04495</t>
  </si>
  <si>
    <t>8070-001-004-0002</t>
  </si>
  <si>
    <t xml:space="preserve">Poulsbo Yacht Club A-4 48lf covered </t>
  </si>
  <si>
    <t xml:space="preserve">BRALY JOHN L &amp; JUDITH               </t>
  </si>
  <si>
    <t xml:space="preserve">WARD SETH &amp; KAY                     </t>
  </si>
  <si>
    <t>2019EX04568</t>
  </si>
  <si>
    <t>5458-000-004-0002</t>
  </si>
  <si>
    <t xml:space="preserve">Sharis                              </t>
  </si>
  <si>
    <t xml:space="preserve">ROLAND &amp; ROLAND                     </t>
  </si>
  <si>
    <t xml:space="preserve">SCC REAL ESTATE ACQUISTIONS LLC     </t>
  </si>
  <si>
    <t>2019EX04584</t>
  </si>
  <si>
    <t xml:space="preserve">SCC REAL ESTATE ACQUISITIONS L      </t>
  </si>
  <si>
    <t xml:space="preserve">SCF RC FUNDING IV LLC               </t>
  </si>
  <si>
    <t>2019EX04733</t>
  </si>
  <si>
    <t>152601-1-047-2001</t>
  </si>
  <si>
    <t xml:space="preserve">Dr. Zimmers &amp; Dr. Burgess Building  </t>
  </si>
  <si>
    <t xml:space="preserve">FAT CAT MANAGEMENT LLC              </t>
  </si>
  <si>
    <t>LIBERTY BAY ROLLERS LLC &amp; ZAX 85TH L</t>
  </si>
  <si>
    <t>2019EX04824</t>
  </si>
  <si>
    <t>4223-000-007-0105</t>
  </si>
  <si>
    <t xml:space="preserve">former Bar corner Front/Jensen      </t>
  </si>
  <si>
    <t xml:space="preserve">AUSTIN WILLIAM J                    </t>
  </si>
  <si>
    <t xml:space="preserve">ADAMOKU LLC                         </t>
  </si>
  <si>
    <t>2019EX04851</t>
  </si>
  <si>
    <t xml:space="preserve">CYNERGY LLC                         </t>
  </si>
  <si>
    <t>2019EX04876</t>
  </si>
  <si>
    <t>102601-1-033-2002</t>
  </si>
  <si>
    <t xml:space="preserve">Lot 5Z  BL - College Marketplace    </t>
  </si>
  <si>
    <t xml:space="preserve">FINN HILL TWO LLC                   </t>
  </si>
  <si>
    <t xml:space="preserve">ORANGE MAN GROUP LLC                </t>
  </si>
  <si>
    <t>2019EX05000</t>
  </si>
  <si>
    <t>3764-000-002-0008</t>
  </si>
  <si>
    <t xml:space="preserve">1345 Elizabeth Ave Apts             </t>
  </si>
  <si>
    <t xml:space="preserve">HAPTAS JOSEPH F &amp; CAROLE ANNE       </t>
  </si>
  <si>
    <t xml:space="preserve">T &amp; G PROPERTIES LLC                </t>
  </si>
  <si>
    <t>2019EX05077</t>
  </si>
  <si>
    <t>8070-002-026-0004</t>
  </si>
  <si>
    <t xml:space="preserve">HILLS LAWRENCE C &amp; CAROL A          </t>
  </si>
  <si>
    <t xml:space="preserve">ONEAL JOHN &amp; REGINA                 </t>
  </si>
  <si>
    <t>2019EX05112</t>
  </si>
  <si>
    <t>162501-3-123-2004</t>
  </si>
  <si>
    <t xml:space="preserve">BL on Levin                         </t>
  </si>
  <si>
    <t xml:space="preserve">VIEWMONT PROPERTIES                 </t>
  </si>
  <si>
    <t xml:space="preserve">SILVERDALE RETINA PROPERTIES LLC    </t>
  </si>
  <si>
    <t>2019EX05131</t>
  </si>
  <si>
    <t>142601-3-077-2001</t>
  </si>
  <si>
    <t xml:space="preserve">Flex on 7th                         </t>
  </si>
  <si>
    <t xml:space="preserve">CEDE LLC                            </t>
  </si>
  <si>
    <t xml:space="preserve">LBA DETAILING CENTER LLC            </t>
  </si>
  <si>
    <t>2019EX05146</t>
  </si>
  <si>
    <t>8056-004-025-0009</t>
  </si>
  <si>
    <t xml:space="preserve">Winslow Wharf D-25, 30lf            </t>
  </si>
  <si>
    <t xml:space="preserve">DOWN RACHEL W                       </t>
  </si>
  <si>
    <t xml:space="preserve">GWIAZDON DAVID &amp; MARGARET           </t>
  </si>
  <si>
    <t>2019EX05160</t>
  </si>
  <si>
    <t>122401-1-066-2002</t>
  </si>
  <si>
    <t xml:space="preserve">Corner Perry &amp; Sheridan auto repair </t>
  </si>
  <si>
    <t xml:space="preserve">WINDERL JANIE L                     </t>
  </si>
  <si>
    <t xml:space="preserve">STEADFAST RESTORATION AND REPURPOSE </t>
  </si>
  <si>
    <t>2019EX05265</t>
  </si>
  <si>
    <t>3719-001-023-0007</t>
  </si>
  <si>
    <t xml:space="preserve">Baymont Inn                         </t>
  </si>
  <si>
    <t xml:space="preserve">AMAX LLC                            </t>
  </si>
  <si>
    <t>2019EX05317</t>
  </si>
  <si>
    <t>082401-4-052-2008</t>
  </si>
  <si>
    <t>6701 Kitsap Wy Steel Magnolias Salon</t>
  </si>
  <si>
    <t xml:space="preserve">MCCLENAHAN LYON N                   </t>
  </si>
  <si>
    <t>HUFF PROPERTIES OF KITSAP COUNTY LLC</t>
  </si>
  <si>
    <t>2019EX05379</t>
  </si>
  <si>
    <t xml:space="preserve">593- Regional center          </t>
  </si>
  <si>
    <t>162501-3-100-2001</t>
  </si>
  <si>
    <t xml:space="preserve">Sears                               </t>
  </si>
  <si>
    <t xml:space="preserve">TF SILVERDALE WA LLC                </t>
  </si>
  <si>
    <t xml:space="preserve">GGD OAKDALE LLC                     </t>
  </si>
  <si>
    <t>2019EX05388</t>
  </si>
  <si>
    <t>8056-001-021-0009</t>
  </si>
  <si>
    <t xml:space="preserve">Winslows Wharf A-21, 42LF           </t>
  </si>
  <si>
    <t xml:space="preserve">CAMPBELL THOMAS A &amp; SUSAN           </t>
  </si>
  <si>
    <t xml:space="preserve">I O MARKETING LLC                   </t>
  </si>
  <si>
    <t>2019EX05455</t>
  </si>
  <si>
    <t>8185-000-004-0006</t>
  </si>
  <si>
    <t xml:space="preserve">Meridian Park- Unit D               </t>
  </si>
  <si>
    <t xml:space="preserve">TALBOT KELLIE &amp; TALBOT KARA CO      </t>
  </si>
  <si>
    <t xml:space="preserve">IJU LLC                             </t>
  </si>
  <si>
    <t>2019EX05475</t>
  </si>
  <si>
    <t>8070-003-008-0004</t>
  </si>
  <si>
    <t xml:space="preserve">KRANCUS GARY A                      </t>
  </si>
  <si>
    <t xml:space="preserve">PERKINS THOMAS M &amp; CHERYL           </t>
  </si>
  <si>
    <t>2019EX05491</t>
  </si>
  <si>
    <t>8217-004-140-0005</t>
  </si>
  <si>
    <t xml:space="preserve">Flying Goat Unit D140               </t>
  </si>
  <si>
    <t xml:space="preserve">ROOST LAND COMPANY LLC              </t>
  </si>
  <si>
    <t xml:space="preserve">THE DAISY TRUST                     </t>
  </si>
  <si>
    <t>2019EX05529</t>
  </si>
  <si>
    <t>292702-3-039-2009</t>
  </si>
  <si>
    <t xml:space="preserve">BL S of Bond on United Rd (Lot B)   </t>
  </si>
  <si>
    <t xml:space="preserve">JOSEPH TREE INCORPORATED            </t>
  </si>
  <si>
    <t>2019EX05550</t>
  </si>
  <si>
    <t>3748-001-015-0002</t>
  </si>
  <si>
    <t xml:space="preserve">Mikes Westpark Chevron              </t>
  </si>
  <si>
    <t xml:space="preserve">JUNG MI H &amp; KIM JEONG M             </t>
  </si>
  <si>
    <t xml:space="preserve">GK &amp; KHARA INC                      </t>
  </si>
  <si>
    <t>2019EX05662</t>
  </si>
  <si>
    <t>312402-1-024-2009</t>
  </si>
  <si>
    <t xml:space="preserve">Time Saver Grocery &amp; Whse           </t>
  </si>
  <si>
    <t xml:space="preserve">POLAR BEAR CO                       </t>
  </si>
  <si>
    <t xml:space="preserve">MHS PROPERTIES LLC                  </t>
  </si>
  <si>
    <t>2019EX05666</t>
  </si>
  <si>
    <t>232501-4-064-2004</t>
  </si>
  <si>
    <t xml:space="preserve">SFR on Hwy 303                      </t>
  </si>
  <si>
    <t>2019EX05713</t>
  </si>
  <si>
    <t>262501-4-116-2009</t>
  </si>
  <si>
    <t xml:space="preserve">Chevron Market Express              </t>
  </si>
  <si>
    <t xml:space="preserve">TKBAN INC                           </t>
  </si>
  <si>
    <t xml:space="preserve">SOHAL GROUP LLC                     </t>
  </si>
  <si>
    <t>2019EX05784</t>
  </si>
  <si>
    <t>8070-002-005-0009</t>
  </si>
  <si>
    <t xml:space="preserve">PYC  44LF                           </t>
  </si>
  <si>
    <t xml:space="preserve">CHEN JOHN STEVEN &amp; RHONDA ILEN      </t>
  </si>
  <si>
    <t xml:space="preserve">BRYANT DAVID LEE &amp; JACQUELYN NADINE </t>
  </si>
  <si>
    <t>2019EX05852</t>
  </si>
  <si>
    <t>222402-3-010-2002</t>
  </si>
  <si>
    <t xml:space="preserve">Manchester Medical Office           </t>
  </si>
  <si>
    <t xml:space="preserve">FOX GUY H                           </t>
  </si>
  <si>
    <t xml:space="preserve">CORNERSTONE USA LLC                 </t>
  </si>
  <si>
    <t>2019EX05862</t>
  </si>
  <si>
    <t xml:space="preserve">CHRISTMAN GERALD G                  </t>
  </si>
  <si>
    <t>2019EX05873</t>
  </si>
  <si>
    <t xml:space="preserve">JC MAPLE LLC                        </t>
  </si>
  <si>
    <t>2019EX05885</t>
  </si>
  <si>
    <t xml:space="preserve">LENORA REAL ESTATE LLC              </t>
  </si>
  <si>
    <t>2019EX05987</t>
  </si>
  <si>
    <t>3718-003-001-0208</t>
  </si>
  <si>
    <t xml:space="preserve">Parking on WA Ave                   </t>
  </si>
  <si>
    <t xml:space="preserve">BR--DW Downtown Wtrfrnt       </t>
  </si>
  <si>
    <t>N - New construction</t>
  </si>
  <si>
    <t xml:space="preserve">SW MARINA SQUARE LLC                </t>
  </si>
  <si>
    <t>SOUND WEST OZ FUND I MULTIFAMILY LLC</t>
  </si>
  <si>
    <t>2019EX06006</t>
  </si>
  <si>
    <t>3787-000-013-1600</t>
  </si>
  <si>
    <t xml:space="preserve">Retail strip Kitsap Way             </t>
  </si>
  <si>
    <t xml:space="preserve">MYK PROPERTIES LLC                  </t>
  </si>
  <si>
    <t xml:space="preserve">KITSAP WAY LLC                      </t>
  </si>
  <si>
    <t>2019EX06252</t>
  </si>
  <si>
    <t>012401-2-130-2005</t>
  </si>
  <si>
    <t xml:space="preserve">Former Wendy's - Wheaton            </t>
  </si>
  <si>
    <t xml:space="preserve">LEE BRIAN S                         </t>
  </si>
  <si>
    <t xml:space="preserve">JAG RETAIL PROPERTIES &amp; JUST JEREMY </t>
  </si>
  <si>
    <t>2019EX06288</t>
  </si>
  <si>
    <t>052401-3-015-2009</t>
  </si>
  <si>
    <t xml:space="preserve">Jack Bryant Hair Studio             </t>
  </si>
  <si>
    <t xml:space="preserve">BRYANT JACK C &amp; MARY G              </t>
  </si>
  <si>
    <t xml:space="preserve">DOUGH PROPERTIES LLC                </t>
  </si>
  <si>
    <t>2019EX06380</t>
  </si>
  <si>
    <t>8070-003-004-0008</t>
  </si>
  <si>
    <t xml:space="preserve">WILSON MERIWETHER G TRUSTEE         </t>
  </si>
  <si>
    <t xml:space="preserve">KENTNER WAYNE A                     </t>
  </si>
  <si>
    <t>2019EX06438</t>
  </si>
  <si>
    <t>192302-2-032-2004</t>
  </si>
  <si>
    <t xml:space="preserve">Spirit of Life Lutheran Church      </t>
  </si>
  <si>
    <t xml:space="preserve">SPIRIT OF LIFE LUTHERAN CHURCH      </t>
  </si>
  <si>
    <t xml:space="preserve">PUGET SOUND ENERGY                  </t>
  </si>
  <si>
    <t>2019EX06486</t>
  </si>
  <si>
    <t xml:space="preserve">KITSAP MENTAL HEALTH SERVICES       </t>
  </si>
  <si>
    <t>2019EX06490</t>
  </si>
  <si>
    <t xml:space="preserve">NVISION REAL ESTATE SOLUTIONS       </t>
  </si>
  <si>
    <t xml:space="preserve">POTTER JOSHUA &amp; TIFFANY             </t>
  </si>
  <si>
    <t>2019EX06577</t>
  </si>
  <si>
    <t>262502-2-036-2009</t>
  </si>
  <si>
    <t xml:space="preserve">Madison Avenue Apartments           </t>
  </si>
  <si>
    <t xml:space="preserve">KITSAP COUNTY CONSOLIDATED HOU      </t>
  </si>
  <si>
    <t xml:space="preserve">550 MADISON LLC                     </t>
  </si>
  <si>
    <t>2019EX06608</t>
  </si>
  <si>
    <t>222401-2-109-2007</t>
  </si>
  <si>
    <t xml:space="preserve">Air Data Express Whse Arsenal Way   </t>
  </si>
  <si>
    <t xml:space="preserve">ARSENAL WAY PARTNERSHIP             </t>
  </si>
  <si>
    <t xml:space="preserve">HARVEYS REAL ESTATE LLC             </t>
  </si>
  <si>
    <t>2019EX06656</t>
  </si>
  <si>
    <t>342401-4-046-2005</t>
  </si>
  <si>
    <t xml:space="preserve">Medical Offices on Pottery          </t>
  </si>
  <si>
    <t xml:space="preserve">POTTERY AVE PROFESSIONAL BLDG       </t>
  </si>
  <si>
    <t xml:space="preserve">POTTERY AVENUE INVESTMENTS LLC      </t>
  </si>
  <si>
    <t>2019EX06659</t>
  </si>
  <si>
    <t>362401-2-054-2006</t>
  </si>
  <si>
    <t xml:space="preserve">BL west side Bethel                 </t>
  </si>
  <si>
    <t xml:space="preserve">D W &amp; L K FRY LMTD LIABILITY        </t>
  </si>
  <si>
    <t xml:space="preserve">OPPORTUNITY ZONE FUND LLC           </t>
  </si>
  <si>
    <t>2019EX06665</t>
  </si>
  <si>
    <t>202501-1-107-2002</t>
  </si>
  <si>
    <t xml:space="preserve">Fourplex on Silverdale Loop         </t>
  </si>
  <si>
    <t xml:space="preserve">HOMEOWNER RESOURCES LLC             </t>
  </si>
  <si>
    <t xml:space="preserve">HOSTETTER STEVEN G &amp; JUDITH A       </t>
  </si>
  <si>
    <t>2019EX06681</t>
  </si>
  <si>
    <t>4316-100-001-0008</t>
  </si>
  <si>
    <t xml:space="preserve">Parking Downtown Kingston           </t>
  </si>
  <si>
    <t>KITSAP COUNTY PUBLIC WORKS ROADS DIV</t>
  </si>
  <si>
    <t>2019EX06682</t>
  </si>
  <si>
    <t>8073-000-001-0004</t>
  </si>
  <si>
    <t xml:space="preserve">Unit 1                              </t>
  </si>
  <si>
    <t xml:space="preserve">VASIN DMITRI V MD &amp; PROKHOROVA      </t>
  </si>
  <si>
    <t>2019EX06736</t>
  </si>
  <si>
    <t>8070-005-009-0008</t>
  </si>
  <si>
    <t xml:space="preserve">RAYMOND JOHN R &amp; CAROL L            </t>
  </si>
  <si>
    <t>2019EX06753</t>
  </si>
  <si>
    <t xml:space="preserve">1501 NW AMBERCREST WAY PARTNER      </t>
  </si>
  <si>
    <t>SILVERDALE RIDGE APARTMENTS PROPERTY</t>
  </si>
  <si>
    <t>2019EX06770</t>
  </si>
  <si>
    <t>4366-009-032-0102</t>
  </si>
  <si>
    <t xml:space="preserve">Whiskey Creek Bar &amp; Grill / Office  </t>
  </si>
  <si>
    <t xml:space="preserve">HOPKINS AUDREY L ESTATE             </t>
  </si>
  <si>
    <t xml:space="preserve">KEYPORT COMMERCIAL LLC              </t>
  </si>
  <si>
    <t>2019EX06771</t>
  </si>
  <si>
    <t>8070-005-023-0000</t>
  </si>
  <si>
    <t xml:space="preserve">THE SPARKS LIVING TRUST             </t>
  </si>
  <si>
    <t xml:space="preserve">MITCHELL MARC A &amp; ROCHELLE L        </t>
  </si>
  <si>
    <t>2019EX06867</t>
  </si>
  <si>
    <t>4409-004-011-0008</t>
  </si>
  <si>
    <t xml:space="preserve">Coffee Shop &amp; warehouse             </t>
  </si>
  <si>
    <t xml:space="preserve">M &amp; T COFFEE LLC                    </t>
  </si>
  <si>
    <t>2019EX06888</t>
  </si>
  <si>
    <t>162401-4-057-2003</t>
  </si>
  <si>
    <t xml:space="preserve">Office Auto Center Way              </t>
  </si>
  <si>
    <t xml:space="preserve">CASCADE SHELTER COMPANY OF TAC      </t>
  </si>
  <si>
    <t>DISABLED AMERICAN VETERANS CHAPTER 5</t>
  </si>
  <si>
    <t>2019EX06966</t>
  </si>
  <si>
    <t xml:space="preserve">BREMERTON WA I SGF LLC              </t>
  </si>
  <si>
    <t>2019EX07069</t>
  </si>
  <si>
    <t>272502-4-184-2004</t>
  </si>
  <si>
    <t xml:space="preserve">Assemblage - Car Vaccume Stn        </t>
  </si>
  <si>
    <t xml:space="preserve">MADISON AVE REAL ESTATE LLC         </t>
  </si>
  <si>
    <t>2019EX07070</t>
  </si>
  <si>
    <t>272502-4-185-2003</t>
  </si>
  <si>
    <t xml:space="preserve">Blue Canary  Car Wash &amp; Garage      </t>
  </si>
  <si>
    <t xml:space="preserve">CITY O F BAINBRIDGE ISLAND          </t>
  </si>
  <si>
    <t>2019EX07119</t>
  </si>
  <si>
    <t>8070-003-014-0006</t>
  </si>
  <si>
    <t xml:space="preserve">CAMPBELL CRAIG P &amp; JEAN G           </t>
  </si>
  <si>
    <t xml:space="preserve">OWEN MARK &amp; SHARON                  </t>
  </si>
  <si>
    <t>2019EX07132</t>
  </si>
  <si>
    <t>162501-2-006-2008</t>
  </si>
  <si>
    <t xml:space="preserve">Silverdale Auto Center              </t>
  </si>
  <si>
    <t xml:space="preserve">ZEPHYR SILVERDALE LLC               </t>
  </si>
  <si>
    <t xml:space="preserve">GIFFEY PROPERTIES LLC               </t>
  </si>
  <si>
    <t>2019EX07200</t>
  </si>
  <si>
    <t>8217-004-120-0009</t>
  </si>
  <si>
    <t xml:space="preserve">Flying Goat Unit D120               </t>
  </si>
  <si>
    <t>2019EX07224</t>
  </si>
  <si>
    <t>3965-000-160-0102</t>
  </si>
  <si>
    <t xml:space="preserve">SFR lower Wheaton                   </t>
  </si>
  <si>
    <t xml:space="preserve">SINE METU HOLDINGS LLC              </t>
  </si>
  <si>
    <t xml:space="preserve">EVE KIMBERLEY &amp; HEFT COLIN          </t>
  </si>
  <si>
    <t>2019EX07275</t>
  </si>
  <si>
    <t>4057-001-013-0007</t>
  </si>
  <si>
    <t xml:space="preserve">Triplex and det garage              </t>
  </si>
  <si>
    <t xml:space="preserve">4GH 1RH LLC                         </t>
  </si>
  <si>
    <t xml:space="preserve">HARDY SAMUEL FLETCHER &amp; AMBER A     </t>
  </si>
  <si>
    <t>2019EX07296</t>
  </si>
  <si>
    <t>142601-3-044-2001</t>
  </si>
  <si>
    <t xml:space="preserve">Rite Aid                            </t>
  </si>
  <si>
    <t xml:space="preserve">ACV POULSBO LLC                     </t>
  </si>
  <si>
    <t xml:space="preserve">LOT 2 WILLIAMS/MULHOLLAND LLC       </t>
  </si>
  <si>
    <t>2019EX07383</t>
  </si>
  <si>
    <t>8070-001-022-0000</t>
  </si>
  <si>
    <t xml:space="preserve">Poulsbo Yacht Club 48lf covered     </t>
  </si>
  <si>
    <t xml:space="preserve">DEITS PAUL                          </t>
  </si>
  <si>
    <t xml:space="preserve">DRURY RICHARD &amp; PEGGY SUE           </t>
  </si>
  <si>
    <t>2019EX07401</t>
  </si>
  <si>
    <t>122301-3-027-2007</t>
  </si>
  <si>
    <t xml:space="preserve">BL on Bethel                        </t>
  </si>
  <si>
    <t xml:space="preserve">JUSTUS THOMAS J &amp; KRISTYN R         </t>
  </si>
  <si>
    <t>2019EX07472</t>
  </si>
  <si>
    <t xml:space="preserve">LAKE WALK 19 LLC                    </t>
  </si>
  <si>
    <t>2019EX07473</t>
  </si>
  <si>
    <t xml:space="preserve">KNIESCHE POULSBO LLC                </t>
  </si>
  <si>
    <t>2019EX07495</t>
  </si>
  <si>
    <t>202501-1-097-2004</t>
  </si>
  <si>
    <t xml:space="preserve">Recognition Plus                    </t>
  </si>
  <si>
    <t xml:space="preserve">DEAN LAURA IND &amp; PERS REP           </t>
  </si>
  <si>
    <t xml:space="preserve">MILLER DOUG W &amp; ANGELA L            </t>
  </si>
  <si>
    <t>2019EX07501</t>
  </si>
  <si>
    <t>342601-2-002-2009</t>
  </si>
  <si>
    <t xml:space="preserve">SFR &amp; Garage                        </t>
  </si>
  <si>
    <t xml:space="preserve">MIDCITYBREW LLC                     </t>
  </si>
  <si>
    <t xml:space="preserve">NORTHWEST SEPTIC O &amp; M INC          </t>
  </si>
  <si>
    <t>2019EX07660</t>
  </si>
  <si>
    <t>3797-028-007-0203</t>
  </si>
  <si>
    <t xml:space="preserve">MH and Garage Landscape services    </t>
  </si>
  <si>
    <t xml:space="preserve">DODD RICHARD E                      </t>
  </si>
  <si>
    <t xml:space="preserve">IBA PROPERTIES LLC                  </t>
  </si>
  <si>
    <t>2019EX07734</t>
  </si>
  <si>
    <t>112301-1-018-2003</t>
  </si>
  <si>
    <t xml:space="preserve">BL Sedgwick 1 lot E of Geiger       </t>
  </si>
  <si>
    <t xml:space="preserve">ANDERSON EDGAR R                    </t>
  </si>
  <si>
    <t xml:space="preserve">DJW DEVELOPING LLC                  </t>
  </si>
  <si>
    <t>2019EX07885</t>
  </si>
  <si>
    <t xml:space="preserve">PACIFIC NW FUELS INC                </t>
  </si>
  <si>
    <t>2019EX07942</t>
  </si>
  <si>
    <t>5053-000-004-0001</t>
  </si>
  <si>
    <t xml:space="preserve">Marit Bldg                          </t>
  </si>
  <si>
    <t xml:space="preserve">MARIT INVESTMENTS LLC               </t>
  </si>
  <si>
    <t xml:space="preserve">RYJAAL INVESTMENTS LLC              </t>
  </si>
  <si>
    <t>2019EX07977</t>
  </si>
  <si>
    <t>102601-1-032-2003</t>
  </si>
  <si>
    <t xml:space="preserve">Lot 5M  BL - College Marketplace    </t>
  </si>
  <si>
    <t xml:space="preserve">HOFFSTURM LLC                       </t>
  </si>
  <si>
    <t>2019EX07997</t>
  </si>
  <si>
    <t>232502-3-093-2000</t>
  </si>
  <si>
    <t xml:space="preserve">Virginia Mason Medical &amp; City MD    </t>
  </si>
  <si>
    <t xml:space="preserve">VWA-BAINBRIDGE ISLAND LLC           </t>
  </si>
  <si>
    <t xml:space="preserve">PANOS EXCHANGE INVESTORS LLC        </t>
  </si>
  <si>
    <t>2019EX08003</t>
  </si>
  <si>
    <t>5458-000-007-0009</t>
  </si>
  <si>
    <t xml:space="preserve">Days Inn- Bravo Terrace             </t>
  </si>
  <si>
    <t xml:space="preserve">GOLDEN TREASURY II LLC              </t>
  </si>
  <si>
    <t>MANANAIM INC &amp; KIM PAUL &amp; YANG JAMES</t>
  </si>
  <si>
    <t>2019EX08042</t>
  </si>
  <si>
    <t>8070-002-027-0003</t>
  </si>
  <si>
    <t xml:space="preserve">WONDERLY JOHN G &amp; EVELYN R          </t>
  </si>
  <si>
    <t xml:space="preserve">RUTLEDGE JAMES &amp; KAREN              </t>
  </si>
  <si>
    <t>2019EX08122</t>
  </si>
  <si>
    <t>8070-001-035-0005</t>
  </si>
  <si>
    <t xml:space="preserve">JORDAL RICHARD R                    </t>
  </si>
  <si>
    <t>2019EX08200</t>
  </si>
  <si>
    <t>2019EX08222</t>
  </si>
  <si>
    <t xml:space="preserve">HOWELL STEPHEN                      </t>
  </si>
  <si>
    <t>2019EX08238</t>
  </si>
  <si>
    <t>332401-2-017-2005</t>
  </si>
  <si>
    <t xml:space="preserve">Servpro                             </t>
  </si>
  <si>
    <t xml:space="preserve">LOCKHART PATRICK M &amp; CHERYL A       </t>
  </si>
  <si>
    <t xml:space="preserve">TJ MCCANN LLC                       </t>
  </si>
  <si>
    <t>2019EX08380</t>
  </si>
  <si>
    <t>8070-001-011-0003</t>
  </si>
  <si>
    <t xml:space="preserve">Slip A-11 PYC, 44lf covered         </t>
  </si>
  <si>
    <t xml:space="preserve">CRUSING VICTOR E                    </t>
  </si>
  <si>
    <t xml:space="preserve">PEZZOLESI CARLO &amp; INGELA            </t>
  </si>
  <si>
    <t>2019EX08420</t>
  </si>
  <si>
    <t>352502-2-038-2006</t>
  </si>
  <si>
    <t xml:space="preserve">Metal Design &amp; Fabrication &amp; Apt    </t>
  </si>
  <si>
    <t xml:space="preserve">THURROTT LINDA                      </t>
  </si>
  <si>
    <t xml:space="preserve">THURROTT PROPERTY MANAGEMENT LLC    </t>
  </si>
  <si>
    <t>2019EX08533</t>
  </si>
  <si>
    <t>3748-001-015-0309</t>
  </si>
  <si>
    <t xml:space="preserve">Jack in the Box- Kitsap way         </t>
  </si>
  <si>
    <t xml:space="preserve">CORNELL JAMES T ETAL                </t>
  </si>
  <si>
    <t xml:space="preserve">AS BAYVIEW LLC                      </t>
  </si>
  <si>
    <t>2019EX08547</t>
  </si>
  <si>
    <t>292501-2-076-2008</t>
  </si>
  <si>
    <t xml:space="preserve">Affordable Self Storage             </t>
  </si>
  <si>
    <t xml:space="preserve">EVERGREEN ASSOCIATES                </t>
  </si>
  <si>
    <t xml:space="preserve">GW SILVERDALE 274 LLC               </t>
  </si>
  <si>
    <t>2019EX08570</t>
  </si>
  <si>
    <t>8070-001-039-0001</t>
  </si>
  <si>
    <t xml:space="preserve">Poulsbo Yacht Club 44lf             </t>
  </si>
  <si>
    <t xml:space="preserve">HART JEAN                           </t>
  </si>
  <si>
    <t xml:space="preserve">PUTNAM TIMOTHY &amp; PHYLLIS            </t>
  </si>
  <si>
    <t>2019EX08603</t>
  </si>
  <si>
    <t>322402-2-013-2009</t>
  </si>
  <si>
    <t xml:space="preserve">SFR, Apt, and garage/strg Mile Hill </t>
  </si>
  <si>
    <t xml:space="preserve">EISENHOWER CARLSON PLLC             </t>
  </si>
  <si>
    <t xml:space="preserve">FUCHS JOHN R                        </t>
  </si>
  <si>
    <t>2019EX08617</t>
  </si>
  <si>
    <t>232701-2-033-2004</t>
  </si>
  <si>
    <t xml:space="preserve">Four Corners Deli-Chevron           </t>
  </si>
  <si>
    <t xml:space="preserve">HANRA ENTERPRISE CORP               </t>
  </si>
  <si>
    <t>2019EX08718</t>
  </si>
  <si>
    <t>022401-1-115-2005</t>
  </si>
  <si>
    <t xml:space="preserve">Portion of former Lumber yard       </t>
  </si>
  <si>
    <t>2019EX08719</t>
  </si>
  <si>
    <t>4230-001-001-0100</t>
  </si>
  <si>
    <t xml:space="preserve">Retail building Front Street        </t>
  </si>
  <si>
    <t xml:space="preserve">HOME CONNECT WA LLC                 </t>
  </si>
  <si>
    <t>2019EX08737</t>
  </si>
  <si>
    <t>042502-4-012-2009</t>
  </si>
  <si>
    <t xml:space="preserve">Browning Research                   </t>
  </si>
  <si>
    <t xml:space="preserve">BROWNING RESEARCH INC               </t>
  </si>
  <si>
    <t xml:space="preserve">BROWNING BROTHERS LLC               </t>
  </si>
  <si>
    <t>2019EX08738</t>
  </si>
  <si>
    <t>132401-3-050-2005</t>
  </si>
  <si>
    <t xml:space="preserve">903 PLEASANT APTS                   </t>
  </si>
  <si>
    <t xml:space="preserve">PERKINS GINGER K                    </t>
  </si>
  <si>
    <t xml:space="preserve">BYRON SHANNON M                     </t>
  </si>
  <si>
    <t>2019EX08762</t>
  </si>
  <si>
    <t>142601-4-067-2001</t>
  </si>
  <si>
    <t xml:space="preserve">Hollywood Video Poulsbo             </t>
  </si>
  <si>
    <t xml:space="preserve">MARC US INVESTMENT CORP             </t>
  </si>
  <si>
    <t xml:space="preserve">LIBERTY BAY ROLLERS LLC             </t>
  </si>
  <si>
    <t>2019EX08829</t>
  </si>
  <si>
    <t>082401-2-097-2009</t>
  </si>
  <si>
    <t xml:space="preserve">Country Lane MHP                    </t>
  </si>
  <si>
    <t xml:space="preserve">LOFQUIST EDWIN H &amp; BARBARA MAR      </t>
  </si>
  <si>
    <t xml:space="preserve">COUNTRY LANE MHP LLC                </t>
  </si>
  <si>
    <t>Multi-Parcel Sales</t>
  </si>
  <si>
    <t>2015EX00060</t>
  </si>
  <si>
    <t>152601-1-069-2004</t>
  </si>
  <si>
    <t xml:space="preserve">Portion of Hudson Auto Center       </t>
  </si>
  <si>
    <t xml:space="preserve">CBRA INC CUSTODIAL RECEIVER         </t>
  </si>
  <si>
    <t xml:space="preserve">MORGAN CHRISTOPHER D &amp; LAURIE A     </t>
  </si>
  <si>
    <t>152601-1-070-2001</t>
  </si>
  <si>
    <t>152601-4-006-2004</t>
  </si>
  <si>
    <t xml:space="preserve">BL-Portion of Car Dealer            </t>
  </si>
  <si>
    <t>2015EX00298</t>
  </si>
  <si>
    <t>5215-000-004-0006</t>
  </si>
  <si>
    <t>Evergreen transf &amp; Stg 5727 Imperial</t>
  </si>
  <si>
    <t xml:space="preserve">EVERGREEN BUILDING LLC &amp; TRIDE      </t>
  </si>
  <si>
    <t xml:space="preserve">EVERGREEN BREMERTON COMPLEX LLC     </t>
  </si>
  <si>
    <t>5215-000-007-0102</t>
  </si>
  <si>
    <t xml:space="preserve">Evergreen Transfer-8576 Warrior     </t>
  </si>
  <si>
    <t>2015EX00763</t>
  </si>
  <si>
    <t>3806-004-033-0003</t>
  </si>
  <si>
    <t xml:space="preserve">123 N Callow - Auto Retail          </t>
  </si>
  <si>
    <t xml:space="preserve">NORTON RAYMOND A SR ESTATE          </t>
  </si>
  <si>
    <t xml:space="preserve">HALF PRICE HUDSON LLC               </t>
  </si>
  <si>
    <t>3806-004-037-0009</t>
  </si>
  <si>
    <t xml:space="preserve">A &amp; YUKI HEALTH SPA                 </t>
  </si>
  <si>
    <t>2015EX01246</t>
  </si>
  <si>
    <t>162401-4-011-2008</t>
  </si>
  <si>
    <t xml:space="preserve">Super 8 Motel                       </t>
  </si>
  <si>
    <t xml:space="preserve">THE PENINSULA GROUP LLC             </t>
  </si>
  <si>
    <t xml:space="preserve">SUMIT LLC                           </t>
  </si>
  <si>
    <t>2015EX01495</t>
  </si>
  <si>
    <t>3733-007-021-0107</t>
  </si>
  <si>
    <t xml:space="preserve">Retail &amp; Apts Burwell               </t>
  </si>
  <si>
    <t xml:space="preserve">TROUBLES ASSET SOLUTIONS LLC        </t>
  </si>
  <si>
    <t xml:space="preserve">PROSERPINA EQUITY PARTNERS LLC      </t>
  </si>
  <si>
    <t>3806-005-001-0107</t>
  </si>
  <si>
    <t xml:space="preserve">2613 Burwell - Private parking lot  </t>
  </si>
  <si>
    <t>2015EX01573</t>
  </si>
  <si>
    <t>4650-014-003-0003</t>
  </si>
  <si>
    <t xml:space="preserve">Brick House  Bar and Grill          </t>
  </si>
  <si>
    <t xml:space="preserve">DBSC HOLDINGS LLC &amp; ESTATE OF       </t>
  </si>
  <si>
    <t xml:space="preserve">FORE INVESTMENTS LLC                </t>
  </si>
  <si>
    <t>4650-014-003-0102</t>
  </si>
  <si>
    <t xml:space="preserve">BL between Prospect and Bay         </t>
  </si>
  <si>
    <t>2015EX01895</t>
  </si>
  <si>
    <t>352501-1-088-2008</t>
  </si>
  <si>
    <t xml:space="preserve">Lot C with 089                      </t>
  </si>
  <si>
    <t xml:space="preserve">WEEKS DOUGLAS E &amp; BUSKIRK WEEK      </t>
  </si>
  <si>
    <t>352501-1-089-2007</t>
  </si>
  <si>
    <t xml:space="preserve">Lot D with 088                      </t>
  </si>
  <si>
    <t>2015EX02897</t>
  </si>
  <si>
    <t>152601-3-036-2000</t>
  </si>
  <si>
    <t xml:space="preserve">BL Viking Way                       </t>
  </si>
  <si>
    <t>D - Not economic unit</t>
  </si>
  <si>
    <t xml:space="preserve">J &amp; S POULSBO LLC                   </t>
  </si>
  <si>
    <t xml:space="preserve">JNJ HOLDINGS LLC                    </t>
  </si>
  <si>
    <t>152601-3-055-2006</t>
  </si>
  <si>
    <t>2015EX02928</t>
  </si>
  <si>
    <t xml:space="preserve">MICHAEL D BOHANNON PLLC TRUSTE      </t>
  </si>
  <si>
    <t xml:space="preserve">SOLARIO SOPHIA                      </t>
  </si>
  <si>
    <t>2015EX03154</t>
  </si>
  <si>
    <t>342401-4-102-2006</t>
  </si>
  <si>
    <t xml:space="preserve">Taxable Ptn                         </t>
  </si>
  <si>
    <t xml:space="preserve">PO--PF Public Facilities      </t>
  </si>
  <si>
    <t>W - With other property</t>
  </si>
  <si>
    <t xml:space="preserve">RYAN TIM PROPERTIES LP              </t>
  </si>
  <si>
    <t xml:space="preserve">HP PORT ORCHARD LLC                 </t>
  </si>
  <si>
    <t>342401-4-102-2105</t>
  </si>
  <si>
    <t xml:space="preserve">Exempt Ptn                          </t>
  </si>
  <si>
    <t>2015EX03240</t>
  </si>
  <si>
    <t>222401-2-011-2004</t>
  </si>
  <si>
    <t xml:space="preserve">SFR on National Ave                 </t>
  </si>
  <si>
    <t xml:space="preserve">BEALL MARK E &amp; VIRGINIA E           </t>
  </si>
  <si>
    <t xml:space="preserve">PARIS MATTHEW ELI                   </t>
  </si>
  <si>
    <t>222401-2-012-2003</t>
  </si>
  <si>
    <t xml:space="preserve">BL on Dora contig w/SFR             </t>
  </si>
  <si>
    <t>2015EX03338</t>
  </si>
  <si>
    <t>082401-4-073-2003</t>
  </si>
  <si>
    <t xml:space="preserve">Cosmopolitan Motors                 </t>
  </si>
  <si>
    <t xml:space="preserve">US BANK NA                          </t>
  </si>
  <si>
    <t xml:space="preserve">LAKE QUINAULT PROPERTIES LLC        </t>
  </si>
  <si>
    <t>082401-4-074-2002</t>
  </si>
  <si>
    <t xml:space="preserve">BL Adjacent to TFI Warehouse        </t>
  </si>
  <si>
    <t>2015EX03523</t>
  </si>
  <si>
    <t xml:space="preserve">545- Chain-type groceries     </t>
  </si>
  <si>
    <t>122401-2-038-2005</t>
  </si>
  <si>
    <t xml:space="preserve">Saars Grocery store w/039           </t>
  </si>
  <si>
    <t xml:space="preserve">HAGGEN PROPERTY NORTH LLC           </t>
  </si>
  <si>
    <t>122401-2-039-2004</t>
  </si>
  <si>
    <t xml:space="preserve">Parking lot south of drive up w/038 </t>
  </si>
  <si>
    <t>2015EX03565</t>
  </si>
  <si>
    <t>342601-1-085-2001</t>
  </si>
  <si>
    <t xml:space="preserve">BL Fronting Silverdale Way          </t>
  </si>
  <si>
    <t>2015EX04211</t>
  </si>
  <si>
    <t>162401-4-014-2005</t>
  </si>
  <si>
    <t xml:space="preserve">Denny's Restaurant                  </t>
  </si>
  <si>
    <t xml:space="preserve">SCHOURUP WILLIAM E &amp;  BONNIE J      </t>
  </si>
  <si>
    <t xml:space="preserve">KITSAP WAY INVESTMENTS LLC          </t>
  </si>
  <si>
    <t>2015EX04541</t>
  </si>
  <si>
    <t>012301-2-111-2009</t>
  </si>
  <si>
    <t xml:space="preserve">Shopping Cntr at Bethel/Lund        </t>
  </si>
  <si>
    <t xml:space="preserve">SAFEWAY INC                         </t>
  </si>
  <si>
    <t xml:space="preserve">HAGGEN FUEL HOLDINGS LLC            </t>
  </si>
  <si>
    <t>012301-2-151-2000</t>
  </si>
  <si>
    <t xml:space="preserve">Safeway gas/Lund Plaza/Starbucks    </t>
  </si>
  <si>
    <t>2015EX04667</t>
  </si>
  <si>
    <t xml:space="preserve">ANGELL SUSAN ULRICH                 </t>
  </si>
  <si>
    <t xml:space="preserve">WU JADINE                           </t>
  </si>
  <si>
    <t>2015EX05560</t>
  </si>
  <si>
    <t>122401-1-060-2008</t>
  </si>
  <si>
    <t xml:space="preserve">HASSOLD JOHN N &amp; CARMEN E           </t>
  </si>
  <si>
    <t xml:space="preserve">QULI MOHAMMED ALADDIN               </t>
  </si>
  <si>
    <t>122401-1-132-2002</t>
  </si>
  <si>
    <t>2015EX06198</t>
  </si>
  <si>
    <t xml:space="preserve">Pt. Gamble Bay WF-COM         </t>
  </si>
  <si>
    <t>062702-4-002-2007</t>
  </si>
  <si>
    <t xml:space="preserve">West half of town                   </t>
  </si>
  <si>
    <t xml:space="preserve">CO--RHTR                      </t>
  </si>
  <si>
    <t xml:space="preserve">WA STATE DEPT OF NATURAL RESOU      </t>
  </si>
  <si>
    <t xml:space="preserve">POPE RESOURCES LP                   </t>
  </si>
  <si>
    <t>2015EX06203</t>
  </si>
  <si>
    <t xml:space="preserve">2010-1 RADC CADC PROPERTY POUL      </t>
  </si>
  <si>
    <t xml:space="preserve">LIDEN SHAWN A &amp; CARY CHARLENE L     </t>
  </si>
  <si>
    <t>2015EX06207</t>
  </si>
  <si>
    <t>102601-3-072-2000</t>
  </si>
  <si>
    <t xml:space="preserve">Lot 3H Car Wash                     </t>
  </si>
  <si>
    <t xml:space="preserve">OLHAVA ASSOCIATES LMTD PTNSP        </t>
  </si>
  <si>
    <t xml:space="preserve">OLHAVA GROUP 3H &amp; 3I LLC            </t>
  </si>
  <si>
    <t>102601-3-073-2009</t>
  </si>
  <si>
    <t xml:space="preserve">Lot 3I  5 spc-Starbuck, AT&amp;T,Groovy </t>
  </si>
  <si>
    <t>2015EX06773</t>
  </si>
  <si>
    <t>212401-2-111-2004</t>
  </si>
  <si>
    <t xml:space="preserve">SFR - 5822 Werner Rd.               </t>
  </si>
  <si>
    <t xml:space="preserve">POWELL TIMOTHY S &amp; TRACY L          </t>
  </si>
  <si>
    <t xml:space="preserve">MURPHY ROBERT C JR &amp; PATRICIA JEAN  </t>
  </si>
  <si>
    <t>212401-2-112-2003</t>
  </si>
  <si>
    <t xml:space="preserve">Ind zoned land N of Werner          </t>
  </si>
  <si>
    <t>2015EX07109</t>
  </si>
  <si>
    <t>272502-1-088-2007</t>
  </si>
  <si>
    <t xml:space="preserve">ELEVEN HUNDRED EAST MAIN LLC        </t>
  </si>
  <si>
    <t>272502-1-128-2009</t>
  </si>
  <si>
    <t>2015EX07312</t>
  </si>
  <si>
    <t>3718-022-014-0005</t>
  </si>
  <si>
    <t xml:space="preserve">BL Burwell                          </t>
  </si>
  <si>
    <t xml:space="preserve">BR--WC Warren Ave Corridor    </t>
  </si>
  <si>
    <t xml:space="preserve">BREMERTON CENTER LLC                </t>
  </si>
  <si>
    <t xml:space="preserve">LORAX VENTURES II LLC               </t>
  </si>
  <si>
    <t xml:space="preserve">911- Common area              </t>
  </si>
  <si>
    <t>3718-022-016-0003</t>
  </si>
  <si>
    <t xml:space="preserve">Old MF structures                   </t>
  </si>
  <si>
    <t>2015EX07763</t>
  </si>
  <si>
    <t xml:space="preserve">TURNER RONALD E &amp; JOY M             </t>
  </si>
  <si>
    <t xml:space="preserve">ELLIS ELIZABETH                     </t>
  </si>
  <si>
    <t xml:space="preserve">118- MH - Leased land         </t>
  </si>
  <si>
    <t xml:space="preserve">Winslow                       </t>
  </si>
  <si>
    <t>9000-000-102-0008</t>
  </si>
  <si>
    <t>2015EX07819</t>
  </si>
  <si>
    <t>172501-3-017-2002</t>
  </si>
  <si>
    <t xml:space="preserve">Conv SFR &amp; Garage\Classrms          </t>
  </si>
  <si>
    <t xml:space="preserve">CO--UR                        </t>
  </si>
  <si>
    <t xml:space="preserve">NEW LIFE CHURCH ON THE PENINSU      </t>
  </si>
  <si>
    <t xml:space="preserve">PICKETT JAMES T &amp; DEBORAH S         </t>
  </si>
  <si>
    <t xml:space="preserve">Silverdale UGA                </t>
  </si>
  <si>
    <t>172501-3-077-2009</t>
  </si>
  <si>
    <t xml:space="preserve">BL Near Corner of Frontier/Anderson </t>
  </si>
  <si>
    <t>2015EX07901</t>
  </si>
  <si>
    <t>3733-007-009-0004</t>
  </si>
  <si>
    <t xml:space="preserve">Gerber Collision                    </t>
  </si>
  <si>
    <t xml:space="preserve">FROGGATT S HOWARD &amp; LAURIE L        </t>
  </si>
  <si>
    <t xml:space="preserve">COLLISION SERVICE REPAIR CENTER INC </t>
  </si>
  <si>
    <t>3733-007-012-0009</t>
  </si>
  <si>
    <t xml:space="preserve">Paint shop                          </t>
  </si>
  <si>
    <t>2015EX07986</t>
  </si>
  <si>
    <t>102601-1-028-2009</t>
  </si>
  <si>
    <t xml:space="preserve">Lot 7G BL College Market Place      </t>
  </si>
  <si>
    <t>102601-1-029-2008</t>
  </si>
  <si>
    <t xml:space="preserve">Lot 7H  BL College Market Place     </t>
  </si>
  <si>
    <t>102601-1-030-2005</t>
  </si>
  <si>
    <t xml:space="preserve">Lot 7I  BL College Market Place     </t>
  </si>
  <si>
    <t>102601-1-034-2001</t>
  </si>
  <si>
    <t xml:space="preserve">Lot 5N BL - College Market Place    </t>
  </si>
  <si>
    <t>102601-1-035-2000</t>
  </si>
  <si>
    <t xml:space="preserve">Lot 5O  BL College Marketplace      </t>
  </si>
  <si>
    <t>102601-1-036-2009</t>
  </si>
  <si>
    <t xml:space="preserve">Lot 5P  BL College Marketplace      </t>
  </si>
  <si>
    <t>102601-1-037-2008</t>
  </si>
  <si>
    <t xml:space="preserve">Lot 5Q  BL College Marketplace      </t>
  </si>
  <si>
    <t>102601-1-042-2001</t>
  </si>
  <si>
    <t xml:space="preserve">Lot 5R Cell service switch facility </t>
  </si>
  <si>
    <t xml:space="preserve">486- Stormwater retention     </t>
  </si>
  <si>
    <t>102601-1-043-2000</t>
  </si>
  <si>
    <t xml:space="preserve">Lot 5S Retention Pond               </t>
  </si>
  <si>
    <t>102601-1-044-2009</t>
  </si>
  <si>
    <t xml:space="preserve">Lot 5T Retention Pond               </t>
  </si>
  <si>
    <t xml:space="preserve">Poulsbo                       </t>
  </si>
  <si>
    <t>102601-1-046-2007</t>
  </si>
  <si>
    <t xml:space="preserve">PL--RM                        </t>
  </si>
  <si>
    <t>102601-1-047-2006</t>
  </si>
  <si>
    <t>102601-1-048-2005</t>
  </si>
  <si>
    <t>102601-2-036-2007</t>
  </si>
  <si>
    <t xml:space="preserve">Lot 3D BL - College Marketplace     </t>
  </si>
  <si>
    <t>102601-2-037-2006</t>
  </si>
  <si>
    <t xml:space="preserve">Lot 3E  BL - College Marketplace    </t>
  </si>
  <si>
    <t>102601-2-040-2001</t>
  </si>
  <si>
    <t xml:space="preserve">Lot 3Q  BL - College Marketplace    </t>
  </si>
  <si>
    <t>102601-2-041-2000</t>
  </si>
  <si>
    <t xml:space="preserve">Lot 4C  BL - College Marketplace    </t>
  </si>
  <si>
    <t>102601-2-042-2009</t>
  </si>
  <si>
    <t xml:space="preserve">Lot 4D  BL - College Marketplace    </t>
  </si>
  <si>
    <t>102601-2-043-2008</t>
  </si>
  <si>
    <t xml:space="preserve">Lot 4E  BL - College Marketplace    </t>
  </si>
  <si>
    <t>102601-2-044-2007</t>
  </si>
  <si>
    <t xml:space="preserve">Lot 4G  BL - College Marketplace    </t>
  </si>
  <si>
    <t>102601-2-046-2005</t>
  </si>
  <si>
    <t xml:space="preserve">Lot 7B BL - College Marketplace     </t>
  </si>
  <si>
    <t>102601-2-047-2004</t>
  </si>
  <si>
    <t xml:space="preserve">Lot 7J  BL - College Marketplace    </t>
  </si>
  <si>
    <t>102601-2-050-2008</t>
  </si>
  <si>
    <t xml:space="preserve">Lot 7E  BL - College Marketplace    </t>
  </si>
  <si>
    <t>102601-2-051-2007</t>
  </si>
  <si>
    <t xml:space="preserve">Lot 7F  BL-College Marketplace      </t>
  </si>
  <si>
    <t>102601-2-052-2006</t>
  </si>
  <si>
    <t xml:space="preserve">Lot 5A BL - College Marketplace     </t>
  </si>
  <si>
    <t>102601-2-055-2003</t>
  </si>
  <si>
    <t xml:space="preserve">Lot 5D BL - College Marketplace     </t>
  </si>
  <si>
    <t>102601-2-056-2002</t>
  </si>
  <si>
    <t xml:space="preserve">Lot 5E  BL - College Marketplace    </t>
  </si>
  <si>
    <t>102601-2-059-2009</t>
  </si>
  <si>
    <t xml:space="preserve">Lot 5H  BL - College Marketplace    </t>
  </si>
  <si>
    <t>102601-2-061-2005</t>
  </si>
  <si>
    <t xml:space="preserve">Lot 5J  BL - College Marketplace    </t>
  </si>
  <si>
    <t>102601-2-065-2001</t>
  </si>
  <si>
    <t xml:space="preserve">180- Other residential        </t>
  </si>
  <si>
    <t>102601-2-066-2000</t>
  </si>
  <si>
    <t>102601-2-068-2008</t>
  </si>
  <si>
    <t xml:space="preserve">BL- College market place near hwy   </t>
  </si>
  <si>
    <t>102601-3-062-2002</t>
  </si>
  <si>
    <t xml:space="preserve">Lot 3F Retention Pond               </t>
  </si>
  <si>
    <t>102601-3-071-2001</t>
  </si>
  <si>
    <t xml:space="preserve">Lot 3G  BL College Market Place     </t>
  </si>
  <si>
    <t>102601-4-048-2009</t>
  </si>
  <si>
    <t xml:space="preserve">Lot 3M  BL - College Marketplace    </t>
  </si>
  <si>
    <t>102601-4-049-2008</t>
  </si>
  <si>
    <t xml:space="preserve">3-N Retention Pond                  </t>
  </si>
  <si>
    <t>2015EX08495</t>
  </si>
  <si>
    <t xml:space="preserve">BREMERTON BUSINESS PARK LLC         </t>
  </si>
  <si>
    <t>2015EX08631</t>
  </si>
  <si>
    <t xml:space="preserve">CARLSON WILLIAM C &amp; JENKINS SH      </t>
  </si>
  <si>
    <t>2015EX08753</t>
  </si>
  <si>
    <t>082401-2-147-2009</t>
  </si>
  <si>
    <t xml:space="preserve">proposed Northlake Way Self Storage </t>
  </si>
  <si>
    <t xml:space="preserve">QUANCE DEBORAHLEE F &amp;               </t>
  </si>
  <si>
    <t>2015EX09108</t>
  </si>
  <si>
    <t>102501-3-036-2006</t>
  </si>
  <si>
    <t xml:space="preserve">Tree Top Apts 1 of 2                </t>
  </si>
  <si>
    <t xml:space="preserve">TREETOPS INVESTORS LLC              </t>
  </si>
  <si>
    <t xml:space="preserve">TAHOE LANE APARTMENTS LLC           </t>
  </si>
  <si>
    <t>102501-3-037-2005</t>
  </si>
  <si>
    <t xml:space="preserve">Tree Top Apts 2 of 2                </t>
  </si>
  <si>
    <t>2015EX09273</t>
  </si>
  <si>
    <t>152401-2-093-2004</t>
  </si>
  <si>
    <t xml:space="preserve">Paved parking for adj med office    </t>
  </si>
  <si>
    <t xml:space="preserve">UMPQUA BANK                         </t>
  </si>
  <si>
    <t xml:space="preserve">BOYD EDWARD &amp; STEICHEN MONICA       </t>
  </si>
  <si>
    <t>152401-2-097-2000</t>
  </si>
  <si>
    <t xml:space="preserve">Medical office                      </t>
  </si>
  <si>
    <t>2015EX09325</t>
  </si>
  <si>
    <t xml:space="preserve">Publicly owned                </t>
  </si>
  <si>
    <t>042301-4-026-2006</t>
  </si>
  <si>
    <t xml:space="preserve">GEM1 LLC                            </t>
  </si>
  <si>
    <t xml:space="preserve">MCCORMICK COMMUNITIES LLC           </t>
  </si>
  <si>
    <t xml:space="preserve">880- Forest land              </t>
  </si>
  <si>
    <t xml:space="preserve">McCormick North               </t>
  </si>
  <si>
    <t>052301-4-013-2000</t>
  </si>
  <si>
    <t xml:space="preserve">BL-DFL off Old Clifton              </t>
  </si>
  <si>
    <t xml:space="preserve">PO--R3                        </t>
  </si>
  <si>
    <t>052301-4-017-2006</t>
  </si>
  <si>
    <t>052301-4-018-2005</t>
  </si>
  <si>
    <t xml:space="preserve">McCormick Woods               </t>
  </si>
  <si>
    <t>082301-1-010-2006</t>
  </si>
  <si>
    <t>082301-1-013-2003</t>
  </si>
  <si>
    <t>082301-1-014-2002</t>
  </si>
  <si>
    <t>082301-2-002-2004</t>
  </si>
  <si>
    <t>082301-2-003-2003</t>
  </si>
  <si>
    <t>092301-1-005-2002</t>
  </si>
  <si>
    <t xml:space="preserve">PO--R6                        </t>
  </si>
  <si>
    <t>092301-1-009-2008</t>
  </si>
  <si>
    <t>092301-4-002-2009</t>
  </si>
  <si>
    <t>092301-4-003-2008</t>
  </si>
  <si>
    <t>092301-4-004-2007</t>
  </si>
  <si>
    <t>092301-4-005-2006</t>
  </si>
  <si>
    <t>162301-1-019-2007</t>
  </si>
  <si>
    <t>162301-1-020-2004</t>
  </si>
  <si>
    <t>162301-1-021-2003</t>
  </si>
  <si>
    <t>172301-2-002-2003</t>
  </si>
  <si>
    <t>172301-2-003-2002</t>
  </si>
  <si>
    <t>172301-2-004-2001</t>
  </si>
  <si>
    <t>172301-2-005-2000</t>
  </si>
  <si>
    <t>172301-2-006-2009</t>
  </si>
  <si>
    <t>172301-2-007-2008</t>
  </si>
  <si>
    <t>172301-3-004-2009</t>
  </si>
  <si>
    <t>6031-000-131-0002</t>
  </si>
  <si>
    <t xml:space="preserve">PO--R2                        </t>
  </si>
  <si>
    <t>2015EX09362</t>
  </si>
  <si>
    <t>3787-000-022-0304</t>
  </si>
  <si>
    <t xml:space="preserve">Espresso Stand on Kitsap Way        </t>
  </si>
  <si>
    <t xml:space="preserve">MELTON JAMES E                      </t>
  </si>
  <si>
    <t xml:space="preserve">MELTON &amp; MELTON LLC                 </t>
  </si>
  <si>
    <t>3787-000-022-0403</t>
  </si>
  <si>
    <t xml:space="preserve">BO Espresso Stand on Kitsap Way     </t>
  </si>
  <si>
    <t>2016EX00100</t>
  </si>
  <si>
    <t>222401-4-071-2007</t>
  </si>
  <si>
    <t xml:space="preserve">1233 Charleston Beach Rd Whse       </t>
  </si>
  <si>
    <t xml:space="preserve">HOLMES BENJAMIN P &amp; CINDY TRUS      </t>
  </si>
  <si>
    <t xml:space="preserve">KITSAP PROPERTY GROUP LLC           </t>
  </si>
  <si>
    <t>222401-4-078-2000</t>
  </si>
  <si>
    <t xml:space="preserve">HTC zoned land Charleston Beach     </t>
  </si>
  <si>
    <t xml:space="preserve">West Bremerton Unincorporated </t>
  </si>
  <si>
    <t>4600-009-035-0006</t>
  </si>
  <si>
    <t>4600-009-036-0005</t>
  </si>
  <si>
    <t>4600-021-001-0001</t>
  </si>
  <si>
    <t>4600-026-001-0000</t>
  </si>
  <si>
    <t>4600-026-002-0009</t>
  </si>
  <si>
    <t>4600-026-004-0007</t>
  </si>
  <si>
    <t>2016EX00103</t>
  </si>
  <si>
    <t>222401-4-068-2002</t>
  </si>
  <si>
    <t xml:space="preserve">Charleston Beach Rd. - parking      </t>
  </si>
  <si>
    <t>222401-4-069-2001</t>
  </si>
  <si>
    <t xml:space="preserve">Charleston Beach Rd. parking        </t>
  </si>
  <si>
    <t>222401-4-070-2008</t>
  </si>
  <si>
    <t>222401-4-073-2005</t>
  </si>
  <si>
    <t xml:space="preserve">Office w/parking on adj parcels     </t>
  </si>
  <si>
    <t>222401-4-079-2009</t>
  </si>
  <si>
    <t xml:space="preserve">1230 Charleston Beach Rd            </t>
  </si>
  <si>
    <t>4600-026-004-0106</t>
  </si>
  <si>
    <t>2016EX00267</t>
  </si>
  <si>
    <t>3765-000-013-0004</t>
  </si>
  <si>
    <t xml:space="preserve">BL-N of Red Apple Grocery           </t>
  </si>
  <si>
    <t xml:space="preserve">JOHNSON JACK R II                   </t>
  </si>
  <si>
    <t>3765-000-014-0201</t>
  </si>
  <si>
    <t xml:space="preserve">The Garage Bar &amp; MF                 </t>
  </si>
  <si>
    <t>2016EX00389</t>
  </si>
  <si>
    <t>3778-002-001-0009</t>
  </si>
  <si>
    <t xml:space="preserve">Admiral Manor Apartments w/004-00   </t>
  </si>
  <si>
    <t xml:space="preserve">ADMIRAL MANOR LLC                   </t>
  </si>
  <si>
    <t xml:space="preserve">PROJECT S12 LLC                     </t>
  </si>
  <si>
    <t>3778-002-004-0006</t>
  </si>
  <si>
    <t xml:space="preserve">Admiral Manor Apartments w/001-00   </t>
  </si>
  <si>
    <t>2016EX00531</t>
  </si>
  <si>
    <t>152601-1-116-2007</t>
  </si>
  <si>
    <t xml:space="preserve">Office Building Near dogfish creek  </t>
  </si>
  <si>
    <t xml:space="preserve">KINECTA FEDERAL CREDIT UNION        </t>
  </si>
  <si>
    <t xml:space="preserve">MACFARLANE DUNCAN C &amp; GISELLE L     </t>
  </si>
  <si>
    <t>152601-1-117-2006</t>
  </si>
  <si>
    <t xml:space="preserve">Dog Fish Creek Building             </t>
  </si>
  <si>
    <t>2016EX00686</t>
  </si>
  <si>
    <t>8055-002-026-0003</t>
  </si>
  <si>
    <t xml:space="preserve">B-26 38 lf slip                     </t>
  </si>
  <si>
    <t xml:space="preserve">ORMSBY JOHN &amp; JANE M                </t>
  </si>
  <si>
    <t>HOUGH CORPORATE COMMUNICATION SERVIC</t>
  </si>
  <si>
    <t>8055-002-028-0001</t>
  </si>
  <si>
    <t xml:space="preserve">B-28 38 ft slip                     </t>
  </si>
  <si>
    <t>2016EX01013</t>
  </si>
  <si>
    <t>012401-4-045-2005</t>
  </si>
  <si>
    <t xml:space="preserve">Retail on corner Perry &amp; Denny      </t>
  </si>
  <si>
    <t xml:space="preserve">EQUITY TRUST COMPANY                </t>
  </si>
  <si>
    <t>GROVES CHARLES F &amp; MCMAHAN AMANDA JO</t>
  </si>
  <si>
    <t xml:space="preserve">East Bremerton UGA            </t>
  </si>
  <si>
    <t>012401-4-049-2001</t>
  </si>
  <si>
    <t>2016EX01134</t>
  </si>
  <si>
    <t>4600-010-017-0006</t>
  </si>
  <si>
    <t xml:space="preserve">Adj to 010-018                      </t>
  </si>
  <si>
    <t xml:space="preserve">CAIN E SANDRA                       </t>
  </si>
  <si>
    <t>4600-010-018-0005</t>
  </si>
  <si>
    <t xml:space="preserve">Cain Custom                         </t>
  </si>
  <si>
    <t>2016EX01189</t>
  </si>
  <si>
    <t>5595-000-023-0003</t>
  </si>
  <si>
    <t xml:space="preserve">The Cooper 1 Apts 10 Units          </t>
  </si>
  <si>
    <t xml:space="preserve">CLARKE PROPERTIES LLC               </t>
  </si>
  <si>
    <t>5595-000-024-0002</t>
  </si>
  <si>
    <t xml:space="preserve">The Cooper 2 Apts 10 Units          </t>
  </si>
  <si>
    <t>2016EX01287</t>
  </si>
  <si>
    <t>3967-001-005-0008</t>
  </si>
  <si>
    <t xml:space="preserve">BL - 2515 Cherry Pl                 </t>
  </si>
  <si>
    <t xml:space="preserve">LITTLEJOHN WILLIAM &amp; ESTHER         </t>
  </si>
  <si>
    <t xml:space="preserve">GILL NAMITA                         </t>
  </si>
  <si>
    <t>3967-001-006-0007</t>
  </si>
  <si>
    <t xml:space="preserve">BL on Cherry Pl                     </t>
  </si>
  <si>
    <t>2016EX01399</t>
  </si>
  <si>
    <t>5277-000-001-0004</t>
  </si>
  <si>
    <t xml:space="preserve">SeaGlass Village Apartments         </t>
  </si>
  <si>
    <t xml:space="preserve">BREMERTON STEPHANUS I LLC &amp;         </t>
  </si>
  <si>
    <t xml:space="preserve">BREMERTON FEE OWNER LLC             </t>
  </si>
  <si>
    <t xml:space="preserve">Manette Uplands               </t>
  </si>
  <si>
    <t>5277-000-003-0002</t>
  </si>
  <si>
    <t xml:space="preserve">BL off lower Wheaton Way            </t>
  </si>
  <si>
    <t xml:space="preserve">BR--CCR                       </t>
  </si>
  <si>
    <t>5277-000-005-0000</t>
  </si>
  <si>
    <t>5277-000-006-0009</t>
  </si>
  <si>
    <t xml:space="preserve">SeaGlass Village Garages            </t>
  </si>
  <si>
    <t>5277-000-007-0008</t>
  </si>
  <si>
    <t xml:space="preserve">BL -Former Maple Leaf Tavern        </t>
  </si>
  <si>
    <t>5277-000-008-0007</t>
  </si>
  <si>
    <t xml:space="preserve">BL Comm Area                        </t>
  </si>
  <si>
    <t>2016EX01407</t>
  </si>
  <si>
    <t>262502-2-086-2008</t>
  </si>
  <si>
    <t xml:space="preserve">Viking Bank Office Building         </t>
  </si>
  <si>
    <t xml:space="preserve">MADISON SQUARE LLC                  </t>
  </si>
  <si>
    <t>262502-2-087-2007</t>
  </si>
  <si>
    <t xml:space="preserve">Madison Square                      </t>
  </si>
  <si>
    <t>262502-2-127-2009</t>
  </si>
  <si>
    <t xml:space="preserve">325/328 Tormey &amp; Apts               </t>
  </si>
  <si>
    <t>8144-000-000-0000</t>
  </si>
  <si>
    <t xml:space="preserve">Common Area-Village Square          </t>
  </si>
  <si>
    <t>8144-000-000-0109</t>
  </si>
  <si>
    <t xml:space="preserve">BO- on Condo common area            </t>
  </si>
  <si>
    <t>8144-000-001-0009</t>
  </si>
  <si>
    <t xml:space="preserve">Unit A Village Square Phase I       </t>
  </si>
  <si>
    <t>8144-000-002-0008</t>
  </si>
  <si>
    <t xml:space="preserve">Unit G, Village Square Phase I      </t>
  </si>
  <si>
    <t>2016EX01409</t>
  </si>
  <si>
    <t>142601-4-044-2009</t>
  </si>
  <si>
    <t xml:space="preserve">Liberty Center                      </t>
  </si>
  <si>
    <t xml:space="preserve">LIBERTY CENTRE LLC                  </t>
  </si>
  <si>
    <t>142601-4-048-2005</t>
  </si>
  <si>
    <t>John L. Scott Poulsbo &amp; office space</t>
  </si>
  <si>
    <t>2016EX02279</t>
  </si>
  <si>
    <t>172501-3-023-2004</t>
  </si>
  <si>
    <t xml:space="preserve">St. Antonys - Old Frontier Rd Exmpt </t>
  </si>
  <si>
    <t xml:space="preserve">DIOCESE OF OLYMPIA INC              </t>
  </si>
  <si>
    <t xml:space="preserve">NEW FELLOWSHIP CHURCH               </t>
  </si>
  <si>
    <t>172501-3-023-2103</t>
  </si>
  <si>
    <t xml:space="preserve">BL St Antonys Old Frontier Txable   </t>
  </si>
  <si>
    <t>2016EX02334</t>
  </si>
  <si>
    <t>082501-4-021-2005</t>
  </si>
  <si>
    <t xml:space="preserve">Conv SFR off Clear Creek            </t>
  </si>
  <si>
    <t xml:space="preserve">XYZ MARKETING &amp; MANAGEMENT LLC      </t>
  </si>
  <si>
    <t>082501-4-033-2001</t>
  </si>
  <si>
    <t xml:space="preserve">BL on Clear Creek N of Greaves Way  </t>
  </si>
  <si>
    <t>2016EX03173</t>
  </si>
  <si>
    <t>232501-4-104-2006</t>
  </si>
  <si>
    <t xml:space="preserve">LOCKE AARON P &amp; JENNIFER L          </t>
  </si>
  <si>
    <t>GALLAGHER SEAN C &amp; YEASTING DANIELLE</t>
  </si>
  <si>
    <t>232501-4-105-2005</t>
  </si>
  <si>
    <t xml:space="preserve">SFR on Highway 303                  </t>
  </si>
  <si>
    <t>2016EX03494</t>
  </si>
  <si>
    <t>8055-001-002-0003</t>
  </si>
  <si>
    <t xml:space="preserve">EH A-2 32LF                         </t>
  </si>
  <si>
    <t xml:space="preserve">MOORINGS PARTNERSHIP                </t>
  </si>
  <si>
    <t>8055-001-003-0002</t>
  </si>
  <si>
    <t xml:space="preserve">EH 32LF                             </t>
  </si>
  <si>
    <t>8055-001-004-0001</t>
  </si>
  <si>
    <t xml:space="preserve">EH A-4 32LF                         </t>
  </si>
  <si>
    <t>8055-001-005-0000</t>
  </si>
  <si>
    <t xml:space="preserve">EH A-5 32LF                         </t>
  </si>
  <si>
    <t>8055-001-006-0009</t>
  </si>
  <si>
    <t>8055-001-007-0008</t>
  </si>
  <si>
    <t xml:space="preserve">EH A-7 32LF                         </t>
  </si>
  <si>
    <t>8055-001-008-0007</t>
  </si>
  <si>
    <t xml:space="preserve">EH A-8 32LF                         </t>
  </si>
  <si>
    <t>8055-001-010-0003</t>
  </si>
  <si>
    <t xml:space="preserve">EH A-10 32LF                        </t>
  </si>
  <si>
    <t>8055-001-011-0002</t>
  </si>
  <si>
    <t xml:space="preserve">EH A-11 32LF                        </t>
  </si>
  <si>
    <t>8055-001-012-0001</t>
  </si>
  <si>
    <t xml:space="preserve">EH A-12 32LF                        </t>
  </si>
  <si>
    <t>8055-001-013-0000</t>
  </si>
  <si>
    <t xml:space="preserve">EH A-13 32LF                        </t>
  </si>
  <si>
    <t>8055-001-014-0009</t>
  </si>
  <si>
    <t xml:space="preserve">EH A-14 32LF                        </t>
  </si>
  <si>
    <t>8055-002-001-0002</t>
  </si>
  <si>
    <t xml:space="preserve">B-1, 36 LF                          </t>
  </si>
  <si>
    <t>8055-002-002-0001</t>
  </si>
  <si>
    <t xml:space="preserve">EH B-2 47LF                         </t>
  </si>
  <si>
    <t>8055-002-003-0000</t>
  </si>
  <si>
    <t xml:space="preserve">EH B-3 30LF                         </t>
  </si>
  <si>
    <t>8055-002-005-0008</t>
  </si>
  <si>
    <t xml:space="preserve">EH B-5 38LF                         </t>
  </si>
  <si>
    <t>8055-002-006-0007</t>
  </si>
  <si>
    <t xml:space="preserve">EH B-6 38LF                         </t>
  </si>
  <si>
    <t>8055-002-007-0006</t>
  </si>
  <si>
    <t xml:space="preserve">EH B-7 38LF                         </t>
  </si>
  <si>
    <t>8055-002-008-0005</t>
  </si>
  <si>
    <t xml:space="preserve">EH Condo Slip B-8 38 lf             </t>
  </si>
  <si>
    <t>8055-002-009-0004</t>
  </si>
  <si>
    <t xml:space="preserve">EH #B-9 38lf                        </t>
  </si>
  <si>
    <t>8055-002-010-0001</t>
  </si>
  <si>
    <t>8055-002-011-0000</t>
  </si>
  <si>
    <t>8055-002-012-0009</t>
  </si>
  <si>
    <t>8055-002-013-0008</t>
  </si>
  <si>
    <t>8055-002-015-0006</t>
  </si>
  <si>
    <t>8055-002-018-0003</t>
  </si>
  <si>
    <t>8055-002-019-0002</t>
  </si>
  <si>
    <t>8055-002-020-0009</t>
  </si>
  <si>
    <t>8055-003-001-0000</t>
  </si>
  <si>
    <t xml:space="preserve">C-1, 53 LF                          </t>
  </si>
  <si>
    <t>8055-003-002-0009</t>
  </si>
  <si>
    <t>8055-003-002-0108</t>
  </si>
  <si>
    <t>8055-003-005-0006</t>
  </si>
  <si>
    <t xml:space="preserve">C-5, 42 LF                          </t>
  </si>
  <si>
    <t>8055-003-006-0005</t>
  </si>
  <si>
    <t>8055-003-008-0003</t>
  </si>
  <si>
    <t>8055-003-009-0002</t>
  </si>
  <si>
    <t>8055-003-010-0009</t>
  </si>
  <si>
    <t>8055-003-011-0008</t>
  </si>
  <si>
    <t>8055-003-012-0007</t>
  </si>
  <si>
    <t>8055-003-014-0005</t>
  </si>
  <si>
    <t>8055-003-016-0003</t>
  </si>
  <si>
    <t>8055-003-018-0001</t>
  </si>
  <si>
    <t>8055-003-020-0007</t>
  </si>
  <si>
    <t>8055-003-027-0000</t>
  </si>
  <si>
    <t>8055-003-028-0009</t>
  </si>
  <si>
    <t>8055-003-029-0008</t>
  </si>
  <si>
    <t>8055-003-030-0005</t>
  </si>
  <si>
    <t>8055-003-031-0004</t>
  </si>
  <si>
    <t>8055-003-032-0003</t>
  </si>
  <si>
    <t>8055-004-002-0007</t>
  </si>
  <si>
    <t xml:space="preserve">D-2, 48 LF                          </t>
  </si>
  <si>
    <t>8055-004-003-0006</t>
  </si>
  <si>
    <t>8055-004-004-0005</t>
  </si>
  <si>
    <t>8055-004-005-0004</t>
  </si>
  <si>
    <t>8055-004-006-0003</t>
  </si>
  <si>
    <t>8055-004-007-0002</t>
  </si>
  <si>
    <t>8055-004-008-0001</t>
  </si>
  <si>
    <t>8055-004-009-0000</t>
  </si>
  <si>
    <t>8055-004-010-0007</t>
  </si>
  <si>
    <t>8055-004-011-0006</t>
  </si>
  <si>
    <t>8055-004-014-0003</t>
  </si>
  <si>
    <t>8055-004-015-0002</t>
  </si>
  <si>
    <t>8055-004-016-0001</t>
  </si>
  <si>
    <t>8055-004-017-0000</t>
  </si>
  <si>
    <t>8055-004-018-0009</t>
  </si>
  <si>
    <t>8055-004-020-0005</t>
  </si>
  <si>
    <t>8055-004-021-0004</t>
  </si>
  <si>
    <t>8055-004-022-0003</t>
  </si>
  <si>
    <t>8055-004-023-0002</t>
  </si>
  <si>
    <t>8055-004-024-0001</t>
  </si>
  <si>
    <t>8055-004-025-0000</t>
  </si>
  <si>
    <t>8055-004-026-0009</t>
  </si>
  <si>
    <t>8055-005-001-0005</t>
  </si>
  <si>
    <t>8055-005-002-0004</t>
  </si>
  <si>
    <t>8055-005-003-0003</t>
  </si>
  <si>
    <t>8055-005-004-0002</t>
  </si>
  <si>
    <t>8055-005-005-0001</t>
  </si>
  <si>
    <t>2016EX03526</t>
  </si>
  <si>
    <t>092502-1-042-2004</t>
  </si>
  <si>
    <t xml:space="preserve">Flex Industrial bldg                </t>
  </si>
  <si>
    <t xml:space="preserve">BAINBRIDGE BUSINESS PARK LLC        </t>
  </si>
  <si>
    <t xml:space="preserve">RIDGEVIEW TOWN CENTER LLC           </t>
  </si>
  <si>
    <t>092502-1-043-2003</t>
  </si>
  <si>
    <t xml:space="preserve">Streamline, Et Al.                  </t>
  </si>
  <si>
    <t>092502-1-058-2005</t>
  </si>
  <si>
    <t xml:space="preserve">Mastercraft, etc                    </t>
  </si>
  <si>
    <t>092502-1-059-2004</t>
  </si>
  <si>
    <t xml:space="preserve">BL Day Rd Ind Park                  </t>
  </si>
  <si>
    <t>2016EX03846</t>
  </si>
  <si>
    <t>4316-006-009-0009</t>
  </si>
  <si>
    <t xml:space="preserve">Former Old Kingston Hotel           </t>
  </si>
  <si>
    <t xml:space="preserve">GROMAN JEFFERY L &amp; HEIJNE CORN      </t>
  </si>
  <si>
    <t>2016EX03928</t>
  </si>
  <si>
    <t>312402-1-009-2008</t>
  </si>
  <si>
    <t xml:space="preserve">BL 4648 SE Mile Hill Dr             </t>
  </si>
  <si>
    <t>FINCHAM UN JU &amp; EASTSIDE FUNDING LLC</t>
  </si>
  <si>
    <t>312402-1-010-2005</t>
  </si>
  <si>
    <t xml:space="preserve">BL Mile Hill Dr. W of Baby Doll Rd  </t>
  </si>
  <si>
    <t>2016EX05050</t>
  </si>
  <si>
    <t xml:space="preserve">SAAR PROPERTIES VII LLC             </t>
  </si>
  <si>
    <t>2016EX05068</t>
  </si>
  <si>
    <t>3748-001-009-0000</t>
  </si>
  <si>
    <t xml:space="preserve">Quality Inn-Apartment Bldg          </t>
  </si>
  <si>
    <t xml:space="preserve">BREMERTON HOSPITALITY LLC           </t>
  </si>
  <si>
    <t xml:space="preserve">SHREEJI INVESTMENT LLC              </t>
  </si>
  <si>
    <t>3748-001-019-0107</t>
  </si>
  <si>
    <t xml:space="preserve">Quality Inn-Bremerton               </t>
  </si>
  <si>
    <t>2016EX05117</t>
  </si>
  <si>
    <t>3718-006-026-0004</t>
  </si>
  <si>
    <t xml:space="preserve">225 5th Street - parking lot        </t>
  </si>
  <si>
    <t xml:space="preserve">LARSON WESLEY A &amp; BROWN MICHAEL E   </t>
  </si>
  <si>
    <t>2016EX05214</t>
  </si>
  <si>
    <t xml:space="preserve">LARSON WESLEY A &amp; BROWN MICHAE      </t>
  </si>
  <si>
    <t>2016EX05267</t>
  </si>
  <si>
    <t>162401-3-103-2009</t>
  </si>
  <si>
    <t xml:space="preserve">245 Bruenn - Warehouse              </t>
  </si>
  <si>
    <t xml:space="preserve">ADCO PROPERTIES INC                 </t>
  </si>
  <si>
    <t xml:space="preserve">DKLFT 8/09 PROPERTY I LLC           </t>
  </si>
  <si>
    <t>162401-3-104-2008</t>
  </si>
  <si>
    <t xml:space="preserve">29 Bruenn - North Coast Electric    </t>
  </si>
  <si>
    <t>162401-3-126-2002</t>
  </si>
  <si>
    <t xml:space="preserve">Parking SW corner Casad &amp; Bruenn    </t>
  </si>
  <si>
    <t>2016EX05516</t>
  </si>
  <si>
    <t>3785-002-018-0001</t>
  </si>
  <si>
    <t xml:space="preserve">5 UNITS @ 1221 BURWELL ST           </t>
  </si>
  <si>
    <t xml:space="preserve">SCHAEFER LLC                        </t>
  </si>
  <si>
    <t xml:space="preserve">J TRIPLE K HOLDINGS LLC             </t>
  </si>
  <si>
    <t>3785-002-020-0007</t>
  </si>
  <si>
    <t xml:space="preserve">1215 Burwell St Apartments          </t>
  </si>
  <si>
    <t>2016EX05886</t>
  </si>
  <si>
    <t>4737-000-001-0001</t>
  </si>
  <si>
    <t xml:space="preserve">Future Frontier Bank tgw 002        </t>
  </si>
  <si>
    <t xml:space="preserve">PORT ORCHARD RETAIL LLC             </t>
  </si>
  <si>
    <t xml:space="preserve">PBJP ENTERPRISES LLC                </t>
  </si>
  <si>
    <t>4737-000-002-0000</t>
  </si>
  <si>
    <t xml:space="preserve">Future Frontier Bank tgw 001        </t>
  </si>
  <si>
    <t>2016EX06309</t>
  </si>
  <si>
    <t>262502-3-081-2001</t>
  </si>
  <si>
    <t xml:space="preserve">American Marine Bank                </t>
  </si>
  <si>
    <t xml:space="preserve">COLUMBIA STATE BANK                 </t>
  </si>
  <si>
    <t>4114-004-007-0000</t>
  </si>
  <si>
    <t xml:space="preserve">American Marine Bank - pkg          </t>
  </si>
  <si>
    <t>2016EX06314</t>
  </si>
  <si>
    <t>082501-4-064-2003</t>
  </si>
  <si>
    <t xml:space="preserve">SFR at west side of site            </t>
  </si>
  <si>
    <t>082501-4-065-2002</t>
  </si>
  <si>
    <t xml:space="preserve">2 SFRs Clear Creek Rd N of Greaves  </t>
  </si>
  <si>
    <t>2016EX06606</t>
  </si>
  <si>
    <t>172501-3-079-2007</t>
  </si>
  <si>
    <t xml:space="preserve">BL Old Frontier N of Anderson Hill  </t>
  </si>
  <si>
    <t>172501-3-080-2004</t>
  </si>
  <si>
    <t>172501-3-081-2003</t>
  </si>
  <si>
    <t>172501-3-082-2002</t>
  </si>
  <si>
    <t>2016EX06667</t>
  </si>
  <si>
    <t xml:space="preserve">OLHAVA INVESTMENT GROUP LLC         </t>
  </si>
  <si>
    <t>2016EX07096</t>
  </si>
  <si>
    <t>4458-011-010-0004</t>
  </si>
  <si>
    <t xml:space="preserve">Bayshore Machine Works              </t>
  </si>
  <si>
    <t xml:space="preserve">MANS BONNIE PERSONAL REP            </t>
  </si>
  <si>
    <t xml:space="preserve">BAYSHORE RESTORATION LLC            </t>
  </si>
  <si>
    <t>4458-016-006-0009</t>
  </si>
  <si>
    <t xml:space="preserve">BL-Wft &amp; Tdlnd contig w/011-010-00  </t>
  </si>
  <si>
    <t>2016EX07438</t>
  </si>
  <si>
    <t xml:space="preserve">744- Marina                   </t>
  </si>
  <si>
    <t>352502-2-088-2005</t>
  </si>
  <si>
    <t xml:space="preserve">Eagle Harbor Marina extra moorage   </t>
  </si>
  <si>
    <t xml:space="preserve">CORBETT SUSAN &amp; MICHAEL             </t>
  </si>
  <si>
    <t>8055-001-015-0008</t>
  </si>
  <si>
    <t xml:space="preserve">EH A-15 32LF                        </t>
  </si>
  <si>
    <t>2016EX07935</t>
  </si>
  <si>
    <t>3719-001-020-0505</t>
  </si>
  <si>
    <t xml:space="preserve">Bayview West Apts                   </t>
  </si>
  <si>
    <t xml:space="preserve">BAYVIEW WEST 2 LLC                  </t>
  </si>
  <si>
    <t xml:space="preserve">GREYACRE PROPERTIES LLC             </t>
  </si>
  <si>
    <t>3719-001-023-0304</t>
  </si>
  <si>
    <t xml:space="preserve">Parking for Bayview West Apartments </t>
  </si>
  <si>
    <t>2016EX07946</t>
  </si>
  <si>
    <t>3768-000-021-0001</t>
  </si>
  <si>
    <t>South Court Apts w/gravel lot on 027</t>
  </si>
  <si>
    <t xml:space="preserve">SOUTHCOURT APARTMENTS LLC           </t>
  </si>
  <si>
    <t xml:space="preserve">SCARLETACRE PROPERTIES LLC          </t>
  </si>
  <si>
    <t>3768-000-027-0005</t>
  </si>
  <si>
    <t xml:space="preserve">BL- Gravel lot for adj Apt  (021)   </t>
  </si>
  <si>
    <t>2016EX08351</t>
  </si>
  <si>
    <t>322401-4-117-2001</t>
  </si>
  <si>
    <t xml:space="preserve">SFR (NV) Hwy 16                     </t>
  </si>
  <si>
    <t xml:space="preserve">2010 1 CRE WA MULTIFAMILY LLC       </t>
  </si>
  <si>
    <t xml:space="preserve">SEATTLESHARES.COM CONSTRUCTION LLC  </t>
  </si>
  <si>
    <t>322401-4-118-2000</t>
  </si>
  <si>
    <t>2016EX08585</t>
  </si>
  <si>
    <t>5597-000-005-0003</t>
  </si>
  <si>
    <t xml:space="preserve">Lot 5 Zoned Village Commercial      </t>
  </si>
  <si>
    <t xml:space="preserve">HOUSING AUTHORITY OF THE CITY       </t>
  </si>
  <si>
    <t xml:space="preserve">PENINSULA COMMUNITY HEALTH SERVICES </t>
  </si>
  <si>
    <t>5597-000-006-0002</t>
  </si>
  <si>
    <t xml:space="preserve">Lot 6 Zoned Village Commercial      </t>
  </si>
  <si>
    <t>5597-000-007-0001</t>
  </si>
  <si>
    <t xml:space="preserve">Lot 7 Zoned Village Commercial      </t>
  </si>
  <si>
    <t>5597-000-008-0000</t>
  </si>
  <si>
    <t xml:space="preserve">Lot 8 Zoned Village Commercial      </t>
  </si>
  <si>
    <t>5597-000-009-0009</t>
  </si>
  <si>
    <t xml:space="preserve">Lot 9 Zoned Village Commercial      </t>
  </si>
  <si>
    <t>5597-000-010-0006</t>
  </si>
  <si>
    <t xml:space="preserve">Lot 10 Zoned Village Commercial     </t>
  </si>
  <si>
    <t>2016EX09065</t>
  </si>
  <si>
    <t>152601-1-028-2004</t>
  </si>
  <si>
    <t xml:space="preserve">BL contig 029 off Finn Hill Rd      </t>
  </si>
  <si>
    <t xml:space="preserve">SWEENEY MARK P &amp; BARBARA L &amp; D      </t>
  </si>
  <si>
    <t xml:space="preserve">BROOKS KIMBERLY J                   </t>
  </si>
  <si>
    <t>152601-1-029-2003</t>
  </si>
  <si>
    <t xml:space="preserve">SFR- 530 Finn Hill contig w/028     </t>
  </si>
  <si>
    <t>2016EX09397</t>
  </si>
  <si>
    <t>222301-2-008-1002</t>
  </si>
  <si>
    <t xml:space="preserve">MH and Storage off Hwy 3            </t>
  </si>
  <si>
    <t xml:space="preserve">DEFEO SHELLY                        </t>
  </si>
  <si>
    <t>HASTING MICHAEL D &amp; TOWNSEND WANDA L</t>
  </si>
  <si>
    <t>222301-2-010-1008</t>
  </si>
  <si>
    <t>2016EX09614</t>
  </si>
  <si>
    <t>202301-1-022-2006</t>
  </si>
  <si>
    <t xml:space="preserve">Triangular portion on Lk Flora Rd   </t>
  </si>
  <si>
    <t xml:space="preserve">TROPHY LAKE GOLF LLC                </t>
  </si>
  <si>
    <t xml:space="preserve">HNA TROPHY LAKE GOLF LLC            </t>
  </si>
  <si>
    <t>202301-1-023-2005</t>
  </si>
  <si>
    <t xml:space="preserve">Eastern rectangle                   </t>
  </si>
  <si>
    <t>202301-1-024-2004</t>
  </si>
  <si>
    <t xml:space="preserve">SW portion of driving range         </t>
  </si>
  <si>
    <t>202301-1-025-2003</t>
  </si>
  <si>
    <t xml:space="preserve">SE portion of driving range         </t>
  </si>
  <si>
    <t>202301-3-010-2006</t>
  </si>
  <si>
    <t xml:space="preserve">Club house, bldgs, holes 9 and 18   </t>
  </si>
  <si>
    <t>2017EX00129</t>
  </si>
  <si>
    <t>3976-030-030-0104</t>
  </si>
  <si>
    <t xml:space="preserve">BL- Wheaton Way                     </t>
  </si>
  <si>
    <t xml:space="preserve">WEBG LLC                            </t>
  </si>
  <si>
    <t>3976-030-031-0004</t>
  </si>
  <si>
    <t>3976-030-032-0003</t>
  </si>
  <si>
    <t>3976-030-033-0002</t>
  </si>
  <si>
    <t>3976-030-034-0100</t>
  </si>
  <si>
    <t xml:space="preserve">BL-Wheaton Way                      </t>
  </si>
  <si>
    <t>3976-030-035-0000</t>
  </si>
  <si>
    <t>3976-030-036-0009</t>
  </si>
  <si>
    <t>2017EX00555</t>
  </si>
  <si>
    <t xml:space="preserve">SK E. Hwy 16                  </t>
  </si>
  <si>
    <t>182302-2-047-2008</t>
  </si>
  <si>
    <t xml:space="preserve">DASHER COMPANY LLC                  </t>
  </si>
  <si>
    <t xml:space="preserve">KITSAP WEST MHP LLC                 </t>
  </si>
  <si>
    <t>182302-2-048-2007</t>
  </si>
  <si>
    <t xml:space="preserve">Kitsap West MHP                     </t>
  </si>
  <si>
    <t>2017EX00648</t>
  </si>
  <si>
    <t>4062-005-002-0004</t>
  </si>
  <si>
    <t xml:space="preserve">BL off Bethel                       </t>
  </si>
  <si>
    <t xml:space="preserve">BROZ MICHAEL A                      </t>
  </si>
  <si>
    <t>4062-005-002-0103</t>
  </si>
  <si>
    <t>2017EX00800</t>
  </si>
  <si>
    <t>232502-3-087-2008</t>
  </si>
  <si>
    <t>Walgreens Hwy 305 &amp; High School Road</t>
  </si>
  <si>
    <t xml:space="preserve">EDCO BAINBRIDGE LLC                 </t>
  </si>
  <si>
    <t>232502-3-089-2006</t>
  </si>
  <si>
    <t xml:space="preserve">Key Bank- Hwy 305 &amp; High School Rd  </t>
  </si>
  <si>
    <t>2017EX00982</t>
  </si>
  <si>
    <t>352401-3-077-2008</t>
  </si>
  <si>
    <t xml:space="preserve">Atlas Apt homes I - 156 units       </t>
  </si>
  <si>
    <t xml:space="preserve">SEA 1800 SYDNEY AVENUE LP           </t>
  </si>
  <si>
    <t>BRIXTON NSE PORT ORCHARD FEE OWNER L</t>
  </si>
  <si>
    <t>352401-3-078-2007</t>
  </si>
  <si>
    <t xml:space="preserve">Atlas Apt homes Phase II-120 unit   </t>
  </si>
  <si>
    <t>2017EX00987</t>
  </si>
  <si>
    <t xml:space="preserve">Beach Drive                   </t>
  </si>
  <si>
    <t>4610-003-006-0002</t>
  </si>
  <si>
    <t xml:space="preserve">HUDGINS VERGIL &amp; KATHLEEN           </t>
  </si>
  <si>
    <t xml:space="preserve">Beach Drive-COM               </t>
  </si>
  <si>
    <t>4610-003-006-0101</t>
  </si>
  <si>
    <t xml:space="preserve">Cell site                           </t>
  </si>
  <si>
    <t>2017EX01077</t>
  </si>
  <si>
    <t xml:space="preserve">HH FUEL LLC                         </t>
  </si>
  <si>
    <t>2017EX01120</t>
  </si>
  <si>
    <t>3966-004-001-0007</t>
  </si>
  <si>
    <t xml:space="preserve">Middle and North Bld w/001-0106     </t>
  </si>
  <si>
    <t xml:space="preserve">HICKMAN GROUP LLC                   </t>
  </si>
  <si>
    <t xml:space="preserve">SWEET MELVIN ALLEN &amp; HALL LUCY ANN  </t>
  </si>
  <si>
    <t>3966-004-001-0106</t>
  </si>
  <si>
    <t xml:space="preserve">South Building w/001-0007           </t>
  </si>
  <si>
    <t>2017EX01155</t>
  </si>
  <si>
    <t>362501-3-038-2004</t>
  </si>
  <si>
    <t xml:space="preserve">South Two Buildings                 </t>
  </si>
  <si>
    <t xml:space="preserve">RIDDELL SQUARE ASSOCIATES           </t>
  </si>
  <si>
    <t xml:space="preserve">MN RIDDELL LLC                      </t>
  </si>
  <si>
    <t>362501-3-051-2006</t>
  </si>
  <si>
    <t xml:space="preserve">North L shaped building             </t>
  </si>
  <si>
    <t>2017EX01363</t>
  </si>
  <si>
    <t>042402-1-078-2007</t>
  </si>
  <si>
    <t xml:space="preserve">Bldg 1                              </t>
  </si>
  <si>
    <t xml:space="preserve">LYNWOOD COMMONS LLC                 </t>
  </si>
  <si>
    <t xml:space="preserve">MANAGED INVESTMENTS LLC             </t>
  </si>
  <si>
    <t>042402-1-079-2006</t>
  </si>
  <si>
    <t xml:space="preserve">Bldg 2                              </t>
  </si>
  <si>
    <t>042402-1-080-2003</t>
  </si>
  <si>
    <t xml:space="preserve">Bldg 3                              </t>
  </si>
  <si>
    <t>2017EX01700</t>
  </si>
  <si>
    <t>8045-000-000-0000</t>
  </si>
  <si>
    <t xml:space="preserve">Common Area                         </t>
  </si>
  <si>
    <t xml:space="preserve">MJ3 PARTNERSHIP                     </t>
  </si>
  <si>
    <t>8045-000-201-0007</t>
  </si>
  <si>
    <t xml:space="preserve">Apt 201                             </t>
  </si>
  <si>
    <t>8045-000-202-0006</t>
  </si>
  <si>
    <t xml:space="preserve">Apt 202                             </t>
  </si>
  <si>
    <t>8045-000-203-0005</t>
  </si>
  <si>
    <t xml:space="preserve">Apt 203                             </t>
  </si>
  <si>
    <t>8045-000-204-0004</t>
  </si>
  <si>
    <t xml:space="preserve">Apt 204                             </t>
  </si>
  <si>
    <t>8045-000-205-0003</t>
  </si>
  <si>
    <t xml:space="preserve">Apt 205                             </t>
  </si>
  <si>
    <t>8045-000-206-0002</t>
  </si>
  <si>
    <t xml:space="preserve">Apt 206                             </t>
  </si>
  <si>
    <t>8045-000-301-0006</t>
  </si>
  <si>
    <t xml:space="preserve">Apt 301                             </t>
  </si>
  <si>
    <t>8045-000-302-0005</t>
  </si>
  <si>
    <t xml:space="preserve">Apt 302                             </t>
  </si>
  <si>
    <t>8045-000-303-0004</t>
  </si>
  <si>
    <t xml:space="preserve">Apt 303                             </t>
  </si>
  <si>
    <t>8045-000-304-0003</t>
  </si>
  <si>
    <t xml:space="preserve">Apt 304                             </t>
  </si>
  <si>
    <t>8045-000-305-0002</t>
  </si>
  <si>
    <t xml:space="preserve">Apt 305                             </t>
  </si>
  <si>
    <t>8045-000-306-0001</t>
  </si>
  <si>
    <t xml:space="preserve">Apt 306                             </t>
  </si>
  <si>
    <t>8045-000-401-0005</t>
  </si>
  <si>
    <t xml:space="preserve">Apt 401                             </t>
  </si>
  <si>
    <t>8045-000-402-0004</t>
  </si>
  <si>
    <t xml:space="preserve">Apt 402                             </t>
  </si>
  <si>
    <t>8045-000-403-0003</t>
  </si>
  <si>
    <t xml:space="preserve">Apt 403                             </t>
  </si>
  <si>
    <t>8045-000-404-0002</t>
  </si>
  <si>
    <t xml:space="preserve">Apt 404                             </t>
  </si>
  <si>
    <t>8045-000-405-0001</t>
  </si>
  <si>
    <t xml:space="preserve">Apt 405                             </t>
  </si>
  <si>
    <t>8045-000-406-0000</t>
  </si>
  <si>
    <t xml:space="preserve">Apt 406                             </t>
  </si>
  <si>
    <t>2017EX01833</t>
  </si>
  <si>
    <t>342401-2-012-2009</t>
  </si>
  <si>
    <t xml:space="preserve">Paul's Bayshore Bldg                </t>
  </si>
  <si>
    <t xml:space="preserve">DAVIS PAUL T &amp; JOAN                 </t>
  </si>
  <si>
    <t xml:space="preserve">TOWERPOINT  ACQUISITIONS            </t>
  </si>
  <si>
    <t>342401-2-012-2108</t>
  </si>
  <si>
    <t xml:space="preserve">Cell Site                           </t>
  </si>
  <si>
    <t>2017EX02342</t>
  </si>
  <si>
    <t>3718-007-001-0001</t>
  </si>
  <si>
    <t xml:space="preserve">Corner of Pacific &amp; Burwell- Office </t>
  </si>
  <si>
    <t xml:space="preserve">STEPHENSON BARBARA &amp; RICE STEV      </t>
  </si>
  <si>
    <t xml:space="preserve">245 LLC &amp; HARBORSIDE COMMONS II LLC </t>
  </si>
  <si>
    <t>3718-007-005-0007</t>
  </si>
  <si>
    <t>Johnson Building Dept of Vet Affairs</t>
  </si>
  <si>
    <t>3718-007-006-0006</t>
  </si>
  <si>
    <t xml:space="preserve">Former 262 Burwell-                 </t>
  </si>
  <si>
    <t>2017EX02765</t>
  </si>
  <si>
    <t>172501-1-054-2000</t>
  </si>
  <si>
    <t xml:space="preserve">NAVY HR CENTER OFFICE LLC           </t>
  </si>
  <si>
    <t xml:space="preserve">BOYD SILVERDALE GSA LLC             </t>
  </si>
  <si>
    <t>172501-1-054-2109</t>
  </si>
  <si>
    <t>2017EX03406</t>
  </si>
  <si>
    <t>4409-004-009-0002</t>
  </si>
  <si>
    <t xml:space="preserve">Warehouse on Meridith St in Chico   </t>
  </si>
  <si>
    <t xml:space="preserve">TUCKER DONALD H &amp;                   </t>
  </si>
  <si>
    <t xml:space="preserve">HOWARD MATTHEW &amp; MICHELLE           </t>
  </si>
  <si>
    <t>4409-004-010-0009</t>
  </si>
  <si>
    <t xml:space="preserve">Parking behind Chico Espresso       </t>
  </si>
  <si>
    <t>2017EX03496</t>
  </si>
  <si>
    <t xml:space="preserve">South Liberty Bay             </t>
  </si>
  <si>
    <t>342601-2-009-2002</t>
  </si>
  <si>
    <t xml:space="preserve">GENESIS POULSBO LLC                 </t>
  </si>
  <si>
    <t xml:space="preserve">GLOBAL SIGNAL ACQUISITIONS IV       </t>
  </si>
  <si>
    <t>342601-2-009-2101</t>
  </si>
  <si>
    <t xml:space="preserve">Cell Site only                      </t>
  </si>
  <si>
    <t>2017EX03819</t>
  </si>
  <si>
    <t>162501-3-034-2002</t>
  </si>
  <si>
    <t xml:space="preserve">Parking for 3100 Building           </t>
  </si>
  <si>
    <t xml:space="preserve">BUCKLIN HILL LLC                    </t>
  </si>
  <si>
    <t xml:space="preserve">KWON O SONG &amp; SO YOUNG              </t>
  </si>
  <si>
    <t>162501-3-035-2001</t>
  </si>
  <si>
    <t xml:space="preserve">3100 Bucklin Hill RD Office         </t>
  </si>
  <si>
    <t>2017EX03883</t>
  </si>
  <si>
    <t>Bainbridge Eagle Harbor WF-COM</t>
  </si>
  <si>
    <t>4178-000-001-0403</t>
  </si>
  <si>
    <t xml:space="preserve">Parking for 003-01 Eagle Harbor Dr  </t>
  </si>
  <si>
    <t xml:space="preserve">ADAMS RAYMOND T                     </t>
  </si>
  <si>
    <t xml:space="preserve">ALLEN THOMAS S &amp; ALISON B           </t>
  </si>
  <si>
    <t xml:space="preserve">Central Bainbridge-COM        </t>
  </si>
  <si>
    <t>4178-000-003-0104</t>
  </si>
  <si>
    <t xml:space="preserve">Greenlight Auto Repair              </t>
  </si>
  <si>
    <t>4178-000-003-0203</t>
  </si>
  <si>
    <t xml:space="preserve">Storage yard for towing Rays Auto   </t>
  </si>
  <si>
    <t xml:space="preserve">Bainbridge Eagle Harbor WF    </t>
  </si>
  <si>
    <t>4178-000-004-0202</t>
  </si>
  <si>
    <t>2017EX04024</t>
  </si>
  <si>
    <t>4585-000-009-0006</t>
  </si>
  <si>
    <t xml:space="preserve">BAYVIEW EAST APTS 1 of 2            </t>
  </si>
  <si>
    <t xml:space="preserve">PROJECT S20 LLC                     </t>
  </si>
  <si>
    <t>4585-000-011-0200</t>
  </si>
  <si>
    <t xml:space="preserve">BAYVIEW EAST APTS 2 of 2            </t>
  </si>
  <si>
    <t>2017EX04097</t>
  </si>
  <si>
    <t>192501-2-031-2004</t>
  </si>
  <si>
    <t xml:space="preserve">BSP Lot I                           </t>
  </si>
  <si>
    <t xml:space="preserve">COOPER STACIE                       </t>
  </si>
  <si>
    <t xml:space="preserve">HIS HANDS LAWN CARE &amp; SERVIECS INC  </t>
  </si>
  <si>
    <t>192501-2-032-2003</t>
  </si>
  <si>
    <t xml:space="preserve">BSP Lot J                           </t>
  </si>
  <si>
    <t>2017EX04098</t>
  </si>
  <si>
    <t>192501-2-025-2002</t>
  </si>
  <si>
    <t xml:space="preserve">BSP Lot C                           </t>
  </si>
  <si>
    <t xml:space="preserve">MORRISON STEVEN D                   </t>
  </si>
  <si>
    <t>192501-2-026-2001</t>
  </si>
  <si>
    <t xml:space="preserve">BSP Lot D                           </t>
  </si>
  <si>
    <t>192501-2-027-2000</t>
  </si>
  <si>
    <t xml:space="preserve">BSP Lot E                           </t>
  </si>
  <si>
    <t>192501-2-028-2009</t>
  </si>
  <si>
    <t xml:space="preserve">BSP Lot F                           </t>
  </si>
  <si>
    <t>2017EX04271</t>
  </si>
  <si>
    <t>192501-2-005-2006</t>
  </si>
  <si>
    <t xml:space="preserve">BL on Willamette Meridian Rd        </t>
  </si>
  <si>
    <t xml:space="preserve">ACE PAVING CO INC &amp;                 </t>
  </si>
  <si>
    <t xml:space="preserve">WIXSON DAVE                         </t>
  </si>
  <si>
    <t>192501-4-054-2002</t>
  </si>
  <si>
    <t xml:space="preserve">BL on Dickey E of Ace Paving        </t>
  </si>
  <si>
    <t>192501-4-055-2001</t>
  </si>
  <si>
    <t>2017EX04777</t>
  </si>
  <si>
    <t>8099-000-000-0005</t>
  </si>
  <si>
    <t xml:space="preserve">COMMON AREA                         </t>
  </si>
  <si>
    <t xml:space="preserve">WYCOFF ASSOCIATES INC               </t>
  </si>
  <si>
    <t xml:space="preserve">LOLLMAN JAMES A                     </t>
  </si>
  <si>
    <t>8099-000-001-0004</t>
  </si>
  <si>
    <t>8099-000-002-0003</t>
  </si>
  <si>
    <t>8099-000-003-0002</t>
  </si>
  <si>
    <t xml:space="preserve">Unit 3                              </t>
  </si>
  <si>
    <t>8099-000-004-0001</t>
  </si>
  <si>
    <t xml:space="preserve">Unit 4                              </t>
  </si>
  <si>
    <t>8099-000-005-0000</t>
  </si>
  <si>
    <t xml:space="preserve">Unit 5                              </t>
  </si>
  <si>
    <t>2017EX05281</t>
  </si>
  <si>
    <t>322401-1-065-2009</t>
  </si>
  <si>
    <t xml:space="preserve">Retail in Gorst                     </t>
  </si>
  <si>
    <t xml:space="preserve">RAMSDELL SUZANNE K                  </t>
  </si>
  <si>
    <t>322401-1-066-2008</t>
  </si>
  <si>
    <t xml:space="preserve">N of Hwy 3, w/070                   </t>
  </si>
  <si>
    <t>322401-1-070-2002</t>
  </si>
  <si>
    <t xml:space="preserve">Portion of bld lot 066              </t>
  </si>
  <si>
    <t>2017EX05464</t>
  </si>
  <si>
    <t>3918-002-019-0000</t>
  </si>
  <si>
    <t xml:space="preserve">Retail-Pitt &amp; Harkins               </t>
  </si>
  <si>
    <t xml:space="preserve">HLADKY CLYDE J                      </t>
  </si>
  <si>
    <t xml:space="preserve">KING &amp; YEE LLC                      </t>
  </si>
  <si>
    <t>3918-002-019-0406</t>
  </si>
  <si>
    <t xml:space="preserve">BL off 11th in Manette              </t>
  </si>
  <si>
    <t>3918-002-020-0106</t>
  </si>
  <si>
    <t xml:space="preserve">Retail Shops Pitt &amp; 11th in Manette </t>
  </si>
  <si>
    <t>2017EX06344</t>
  </si>
  <si>
    <t>352501-4-007-2000</t>
  </si>
  <si>
    <t xml:space="preserve">Camelot MHP (1 of 2)                </t>
  </si>
  <si>
    <t xml:space="preserve">CAMELOT MHC LLC                     </t>
  </si>
  <si>
    <t xml:space="preserve">CAMELOT ESTATES MHC LLC             </t>
  </si>
  <si>
    <t>352501-4-043-2006</t>
  </si>
  <si>
    <t xml:space="preserve">Camelot MHP (2 of 2)                </t>
  </si>
  <si>
    <t>2017EX06690</t>
  </si>
  <si>
    <t>4223-000-008-0005</t>
  </si>
  <si>
    <t xml:space="preserve">Parking off of Moe Downtown Poulsbo </t>
  </si>
  <si>
    <t xml:space="preserve">MANDL HOLDINGS LLC                  </t>
  </si>
  <si>
    <t xml:space="preserve">SOUND WEST STRANDVAGEN LLC          </t>
  </si>
  <si>
    <t>4223-000-009-0004</t>
  </si>
  <si>
    <t xml:space="preserve">Plassen Building, Duplex            </t>
  </si>
  <si>
    <t>4227-000-004-0005</t>
  </si>
  <si>
    <t xml:space="preserve">Nordic House Retail &amp; Offices       </t>
  </si>
  <si>
    <t>4227-000-006-0003</t>
  </si>
  <si>
    <t xml:space="preserve">Tivoli Place, Olympic Inn           </t>
  </si>
  <si>
    <t>2017EX06691</t>
  </si>
  <si>
    <t>232601-2-183-2003</t>
  </si>
  <si>
    <t xml:space="preserve">Poulsbo Old Bank Bldg               </t>
  </si>
  <si>
    <t>4223-000-002-0100</t>
  </si>
  <si>
    <t xml:space="preserve">Liberty Building Retail &amp; apts      </t>
  </si>
  <si>
    <t>2017EX06692</t>
  </si>
  <si>
    <t>4223-000-001-0002</t>
  </si>
  <si>
    <t xml:space="preserve">Closet Transfer &amp; Apts above        </t>
  </si>
  <si>
    <t xml:space="preserve">ZONNEBLOEM LLC                      </t>
  </si>
  <si>
    <t>4223-000-010-0001</t>
  </si>
  <si>
    <t xml:space="preserve">Parking W of 3rd, S of Moe          </t>
  </si>
  <si>
    <t>2017EX06745</t>
  </si>
  <si>
    <t>4119-000-005-0302</t>
  </si>
  <si>
    <t xml:space="preserve">BL Madison                          </t>
  </si>
  <si>
    <t xml:space="preserve">JHP INVESTMENTS LLC                 </t>
  </si>
  <si>
    <t xml:space="preserve">LANDMARK MANAGEMENT LLC             </t>
  </si>
  <si>
    <t>4119-000-006-0103</t>
  </si>
  <si>
    <t xml:space="preserve">Madison Bldg                        </t>
  </si>
  <si>
    <t>2017EX06854</t>
  </si>
  <si>
    <t>5491-000-005-0000</t>
  </si>
  <si>
    <t xml:space="preserve">Div 2 Lot 5 Daffodil RV Parking     </t>
  </si>
  <si>
    <t xml:space="preserve">S &amp; S PARTNERS LLC                  </t>
  </si>
  <si>
    <t xml:space="preserve">PORT ORCHARD BOAT &amp;  RV STORAGE LLC </t>
  </si>
  <si>
    <t>5491-000-006-0009</t>
  </si>
  <si>
    <t xml:space="preserve">Div 2 Lot 6 Daffodil RV Parking     </t>
  </si>
  <si>
    <t>5491-000-007-0008</t>
  </si>
  <si>
    <t xml:space="preserve">Div 2 Lot 7 Daffodil RV Parking     </t>
  </si>
  <si>
    <t>5491-000-008-0007</t>
  </si>
  <si>
    <t xml:space="preserve">Div 2 Lot 8  Daffodil RV Parking    </t>
  </si>
  <si>
    <t>2017EX06889</t>
  </si>
  <si>
    <t>4609-000-004-0300</t>
  </si>
  <si>
    <t xml:space="preserve">Village Lane Apts                   </t>
  </si>
  <si>
    <t xml:space="preserve">2010 VILLAGE LANE LLC               </t>
  </si>
  <si>
    <t xml:space="preserve">FPA5 SOUTH PARK GREENS LLC          </t>
  </si>
  <si>
    <t>4609-000-004-0904</t>
  </si>
  <si>
    <t xml:space="preserve">South Park Greens Apts Phase I &amp; II </t>
  </si>
  <si>
    <t>2017EX07220</t>
  </si>
  <si>
    <t>102601-1-009-2002</t>
  </si>
  <si>
    <t xml:space="preserve">BL N end of Viking Way Fenced       </t>
  </si>
  <si>
    <t xml:space="preserve">SUND MULLIGAN PROPERTIES LLC        </t>
  </si>
  <si>
    <t xml:space="preserve">KEN MILLER PROPERTIES LLC           </t>
  </si>
  <si>
    <t>102601-1-010-2009</t>
  </si>
  <si>
    <t xml:space="preserve">NK Auto Rebuild, Chico Towing       </t>
  </si>
  <si>
    <t>2017EX07934</t>
  </si>
  <si>
    <t xml:space="preserve">459- Totally esmt encumbered  </t>
  </si>
  <si>
    <t>212401-1-010-2008</t>
  </si>
  <si>
    <t xml:space="preserve">Easement - Wilkes Ave.              </t>
  </si>
  <si>
    <t xml:space="preserve">SPI 284 LLC                         </t>
  </si>
  <si>
    <t>3823-000-001-0008</t>
  </si>
  <si>
    <t xml:space="preserve">Rottweiler Bikes/Bishop's Storehous </t>
  </si>
  <si>
    <t>2017EX08402</t>
  </si>
  <si>
    <t>012401-2-131-2004</t>
  </si>
  <si>
    <t xml:space="preserve">Fenced storage yard                 </t>
  </si>
  <si>
    <t xml:space="preserve">IVY ROAD LLC                        </t>
  </si>
  <si>
    <t xml:space="preserve">WHEATON WAY LLC                     </t>
  </si>
  <si>
    <t>012401-2-141-2002</t>
  </si>
  <si>
    <t>BL- Behind (East) Wheaton Wy Auto Sl</t>
  </si>
  <si>
    <t>2017EX08845</t>
  </si>
  <si>
    <t>142601-4-114-2004</t>
  </si>
  <si>
    <t xml:space="preserve">Safeway                             </t>
  </si>
  <si>
    <t xml:space="preserve">CF ALBERT PROPCO LLC                </t>
  </si>
  <si>
    <t>142601-4-116-2002</t>
  </si>
  <si>
    <t xml:space="preserve">Retention pond on 10th              </t>
  </si>
  <si>
    <t>2017EX08875</t>
  </si>
  <si>
    <t>3735-021-006-0006</t>
  </si>
  <si>
    <t xml:space="preserve">BL on Wycoff                        </t>
  </si>
  <si>
    <t xml:space="preserve">TUCKER DONALD H TRUSTEE &amp; TUCK      </t>
  </si>
  <si>
    <t xml:space="preserve">HENNEMANN DARYL C &amp; JON J           </t>
  </si>
  <si>
    <t xml:space="preserve">West Bremerton Uplands City   </t>
  </si>
  <si>
    <t>3735-021-008-0004</t>
  </si>
  <si>
    <t xml:space="preserve">SFR ON WYCOFF                       </t>
  </si>
  <si>
    <t>2017EX08970</t>
  </si>
  <si>
    <t xml:space="preserve">SK Hwy 3 Corridor             </t>
  </si>
  <si>
    <t>122301-4-003-1005</t>
  </si>
  <si>
    <t xml:space="preserve">Former Auto Wrecking yard           </t>
  </si>
  <si>
    <t xml:space="preserve">CROSS JERRIE L                      </t>
  </si>
  <si>
    <t xml:space="preserve">WARREN JASON                        </t>
  </si>
  <si>
    <t>122301-4-004-1004</t>
  </si>
  <si>
    <t xml:space="preserve">Amercian NW Recycling               </t>
  </si>
  <si>
    <t>2017EX09277</t>
  </si>
  <si>
    <t>112301-4-004-2003</t>
  </si>
  <si>
    <t>A1 Door, PO Plumbing, Ecklund Drywal</t>
  </si>
  <si>
    <t xml:space="preserve">JEMR LLC                            </t>
  </si>
  <si>
    <t xml:space="preserve">DISNEY &amp; ASSOCIATES INC             </t>
  </si>
  <si>
    <t>112301-4-008-2009</t>
  </si>
  <si>
    <t xml:space="preserve">BL one lot off Bethel, contig w/004 </t>
  </si>
  <si>
    <t>2017EX09568</t>
  </si>
  <si>
    <t>152601-4-072-2003</t>
  </si>
  <si>
    <t xml:space="preserve">Parking &amp; Easement for James Lumber </t>
  </si>
  <si>
    <t xml:space="preserve">JAMES VIKING PROPERTIES LLC         </t>
  </si>
  <si>
    <t xml:space="preserve">ROYER GREGG                         </t>
  </si>
  <si>
    <t>152601-4-073-2002</t>
  </si>
  <si>
    <t xml:space="preserve">Former James lumber- Hardware store </t>
  </si>
  <si>
    <t>152601-4-074-2001</t>
  </si>
  <si>
    <t xml:space="preserve">BL- Asphalt Liberty Rd W of Viking  </t>
  </si>
  <si>
    <t>152601-4-075-2000</t>
  </si>
  <si>
    <t xml:space="preserve">BL- Poulsbo RV Asphalt Sales Lot    </t>
  </si>
  <si>
    <t>152601-4-076-2009</t>
  </si>
  <si>
    <t xml:space="preserve">BL Liberty Rd, W of Viking          </t>
  </si>
  <si>
    <t>152601-4-077-2008</t>
  </si>
  <si>
    <t xml:space="preserve">Lumber Yard W of hardware store     </t>
  </si>
  <si>
    <t>2017EX09879</t>
  </si>
  <si>
    <t>102601-4-028-2003</t>
  </si>
  <si>
    <t xml:space="preserve">BL-Viking Way                       </t>
  </si>
  <si>
    <t>EDWARD ROSE MILLENNIAL DEVELOPMENT L</t>
  </si>
  <si>
    <t>112601-3-003-2003</t>
  </si>
  <si>
    <t xml:space="preserve">BL on Vetter                        </t>
  </si>
  <si>
    <t>2017EX10286</t>
  </si>
  <si>
    <t xml:space="preserve">BCH 1 LLC                           </t>
  </si>
  <si>
    <t>2017EX10287</t>
  </si>
  <si>
    <t>2017EX10341</t>
  </si>
  <si>
    <t>272701-4-042-2005</t>
  </si>
  <si>
    <t xml:space="preserve">Ptn Tru Life                        </t>
  </si>
  <si>
    <t xml:space="preserve">TRULIFE INC                         </t>
  </si>
  <si>
    <t xml:space="preserve">APANAGE CORPORATION                 </t>
  </si>
  <si>
    <t>272701-4-043-2004</t>
  </si>
  <si>
    <t xml:space="preserve">Ptn of Tru Life                     </t>
  </si>
  <si>
    <t>272701-4-060-2002</t>
  </si>
  <si>
    <t xml:space="preserve">Toland Home Garden                  </t>
  </si>
  <si>
    <t>272701-4-061-2001</t>
  </si>
  <si>
    <t xml:space="preserve">Loading Docks                       </t>
  </si>
  <si>
    <t>2017MH00231</t>
  </si>
  <si>
    <t>122301-3-034-2008</t>
  </si>
  <si>
    <t xml:space="preserve">Martell MHP                         </t>
  </si>
  <si>
    <t xml:space="preserve">KESSLER JACK &amp; KIMBERLY             </t>
  </si>
  <si>
    <t xml:space="preserve">MARTELL MANOR                       </t>
  </si>
  <si>
    <t xml:space="preserve">Port Orchard                  </t>
  </si>
  <si>
    <t>9000-010-465-0008</t>
  </si>
  <si>
    <t>2018EX00100</t>
  </si>
  <si>
    <t>3966-004-010-0006</t>
  </si>
  <si>
    <t xml:space="preserve">Harrison Annex                      </t>
  </si>
  <si>
    <t xml:space="preserve">BEARBOWER RICHARD L &amp; DENICE J      </t>
  </si>
  <si>
    <t xml:space="preserve">KESSLER MILES &amp; SHIRLEE &amp; KESSLER   </t>
  </si>
  <si>
    <t>3966-005-001-0004</t>
  </si>
  <si>
    <t xml:space="preserve">BL corner Lebo &amp; lower Wheaton.     </t>
  </si>
  <si>
    <t>2018EX00225</t>
  </si>
  <si>
    <t xml:space="preserve">BFG SILVERDALE PROPCO IV LLC        </t>
  </si>
  <si>
    <t>2018EX00243</t>
  </si>
  <si>
    <t>4597-000-001-0000</t>
  </si>
  <si>
    <t xml:space="preserve">BL- W end Werner Rd.                </t>
  </si>
  <si>
    <t xml:space="preserve">SKIRVING PROPERTIES LLC             </t>
  </si>
  <si>
    <t xml:space="preserve">HARBOR CUSTOM HOMES LLC             </t>
  </si>
  <si>
    <t>4597-000-017-0002</t>
  </si>
  <si>
    <t>4597-000-022-0005</t>
  </si>
  <si>
    <t>4597-000-030-0005</t>
  </si>
  <si>
    <t>4597-000-042-0001</t>
  </si>
  <si>
    <t xml:space="preserve">West end of Werner, no dev access.  </t>
  </si>
  <si>
    <t>4597-000-076-0000</t>
  </si>
  <si>
    <t xml:space="preserve">BL - W End of Werner Road           </t>
  </si>
  <si>
    <t>4597-000-085-0009</t>
  </si>
  <si>
    <t>4597-000-096-0006</t>
  </si>
  <si>
    <t>4597-000-099-0003</t>
  </si>
  <si>
    <t>4597-000-104-0006</t>
  </si>
  <si>
    <t>4597-000-107-0003</t>
  </si>
  <si>
    <t>4597-000-108-0002</t>
  </si>
  <si>
    <t>4597-000-113-0005</t>
  </si>
  <si>
    <t>4597-000-118-0000</t>
  </si>
  <si>
    <t xml:space="preserve">BL - W end Werner Rd                </t>
  </si>
  <si>
    <t>4597-000-141-0001</t>
  </si>
  <si>
    <t>4597-000-150-0009</t>
  </si>
  <si>
    <t>4597-000-217-0000</t>
  </si>
  <si>
    <t>4597-000-232-0001</t>
  </si>
  <si>
    <t>2018EX00539</t>
  </si>
  <si>
    <t>3811-002-020-0005</t>
  </si>
  <si>
    <t xml:space="preserve">West portion of Market              </t>
  </si>
  <si>
    <t xml:space="preserve">GARGUILES MIDTOWN MARKET INC        </t>
  </si>
  <si>
    <t>3811-002-021-0202</t>
  </si>
  <si>
    <t xml:space="preserve">East Ptn of building &amp; Parking      </t>
  </si>
  <si>
    <t>2018EX00677</t>
  </si>
  <si>
    <t xml:space="preserve">BREMERTON WORK SPACE LLC            </t>
  </si>
  <si>
    <t>2018EX00681</t>
  </si>
  <si>
    <t>232601-1-155-2009</t>
  </si>
  <si>
    <t xml:space="preserve">Olympic Place II                    </t>
  </si>
  <si>
    <t xml:space="preserve">JAMES LANE C LLC                    </t>
  </si>
  <si>
    <t xml:space="preserve">ZAXIUM-LENORA LLC                   </t>
  </si>
  <si>
    <t>232601-1-156-2008</t>
  </si>
  <si>
    <t xml:space="preserve">BL- Hostmark                        </t>
  </si>
  <si>
    <t>2018EX00765</t>
  </si>
  <si>
    <t>162501-3-096-2007</t>
  </si>
  <si>
    <t xml:space="preserve">Smith Barney Shearson Bldg          </t>
  </si>
  <si>
    <t xml:space="preserve">SILVERDALE CREEKSIDE II LLC         </t>
  </si>
  <si>
    <t xml:space="preserve">SILVERDALE CREEKSIDE LLC            </t>
  </si>
  <si>
    <t>2018EX00925</t>
  </si>
  <si>
    <t>162501-3-133-2002</t>
  </si>
  <si>
    <t xml:space="preserve">Lot A                               </t>
  </si>
  <si>
    <t xml:space="preserve">BAWD CREEKSIDE LLC                  </t>
  </si>
  <si>
    <t xml:space="preserve">SOUND WEST HOLDINGS LLC             </t>
  </si>
  <si>
    <t>162501-3-134-2001</t>
  </si>
  <si>
    <t xml:space="preserve">Lot B Future Office                 </t>
  </si>
  <si>
    <t>2018EX01293</t>
  </si>
  <si>
    <t xml:space="preserve">PADGETT VERN L                      </t>
  </si>
  <si>
    <t>2018EX01438</t>
  </si>
  <si>
    <t>312602-2-023-2006</t>
  </si>
  <si>
    <t xml:space="preserve">Units G1 &amp; G2                       </t>
  </si>
  <si>
    <t xml:space="preserve">KISHI HIROO &amp; HARUMI                </t>
  </si>
  <si>
    <t xml:space="preserve">POULSBO INVESTMENT PROPERTIES LLC   </t>
  </si>
  <si>
    <t>312602-2-024-2005</t>
  </si>
  <si>
    <t xml:space="preserve">Units H1 &amp; H2  Hiro Japanese Auto   </t>
  </si>
  <si>
    <t>2018EX01544</t>
  </si>
  <si>
    <t>302402-1-021-2003</t>
  </si>
  <si>
    <t xml:space="preserve">Fourplex Horstmans                  </t>
  </si>
  <si>
    <t xml:space="preserve">STRAND GRETA KIRSTIN                </t>
  </si>
  <si>
    <t xml:space="preserve">LINHART CASEY                       </t>
  </si>
  <si>
    <t>302402-1-055-2002</t>
  </si>
  <si>
    <t>2018EX01565</t>
  </si>
  <si>
    <t>132401-2-084-2007</t>
  </si>
  <si>
    <t xml:space="preserve">BL- fronting sheldon                </t>
  </si>
  <si>
    <t xml:space="preserve">PBRELF CLEARVIEW SHELDON LLC        </t>
  </si>
  <si>
    <t>132401-2-085-2006</t>
  </si>
  <si>
    <t xml:space="preserve">BL McKenzie &amp; Sheldon Blvd          </t>
  </si>
  <si>
    <t>2018EX01611</t>
  </si>
  <si>
    <t>252501-3-048-2005</t>
  </si>
  <si>
    <t>252501-3-049-2004</t>
  </si>
  <si>
    <t>2018EX01653</t>
  </si>
  <si>
    <t>172501-2-049-2006</t>
  </si>
  <si>
    <t xml:space="preserve">Cross Creek Mini Storage            </t>
  </si>
  <si>
    <t xml:space="preserve">SNYDER JUDITH MIEKO TRUSTEE         </t>
  </si>
  <si>
    <t xml:space="preserve">CHINOOK PROPERTIES INC              </t>
  </si>
  <si>
    <t>172501-2-054-2008</t>
  </si>
  <si>
    <t xml:space="preserve">SFR Old Frontier Rd                 </t>
  </si>
  <si>
    <t>2018EX01935</t>
  </si>
  <si>
    <t>4316-005-022-0004</t>
  </si>
  <si>
    <t xml:space="preserve">BL Small lot fronting E First       </t>
  </si>
  <si>
    <t xml:space="preserve">KUTZ DAVID J &amp; JANICE C             </t>
  </si>
  <si>
    <t xml:space="preserve">CHUMBLEY JAMES &amp; EVELYN ET AL       </t>
  </si>
  <si>
    <t>4316-006-007-0001</t>
  </si>
  <si>
    <t xml:space="preserve">Kingston Chamber of Commerce        </t>
  </si>
  <si>
    <t>4316-031-006-0000</t>
  </si>
  <si>
    <t xml:space="preserve">Unpaved Parking near ferry          </t>
  </si>
  <si>
    <t>2018EX02072</t>
  </si>
  <si>
    <t>3718-015-012-0100</t>
  </si>
  <si>
    <t xml:space="preserve">602-604 4th Ave Off/ret w/Prkng @W  </t>
  </si>
  <si>
    <t xml:space="preserve">CAMITS LLC                          </t>
  </si>
  <si>
    <t xml:space="preserve">4TH STREET PROPERTIES BREMERTON LLC </t>
  </si>
  <si>
    <t>3718-015-015-0008</t>
  </si>
  <si>
    <t xml:space="preserve">606-608 4th St Retail -Multifamily  </t>
  </si>
  <si>
    <t>2018EX02185</t>
  </si>
  <si>
    <t>232601-2-196-2008</t>
  </si>
  <si>
    <t xml:space="preserve">TV Jones                            </t>
  </si>
  <si>
    <t xml:space="preserve">NORTH KITSAP FISHLINE               </t>
  </si>
  <si>
    <t xml:space="preserve">NSE ENTERPRISES LLC                 </t>
  </si>
  <si>
    <t>2018EX02321</t>
  </si>
  <si>
    <t>4625-000-005-0507</t>
  </si>
  <si>
    <t xml:space="preserve">Daffodil Storage                    </t>
  </si>
  <si>
    <t xml:space="preserve">GOODWIN FAMILY ENTERPRISES LLC      </t>
  </si>
  <si>
    <t xml:space="preserve">PORT ORCHARD STORAGE LLC            </t>
  </si>
  <si>
    <t>4625-000-005-0606</t>
  </si>
  <si>
    <t xml:space="preserve">Portion Bldg D Daffodil Storage     </t>
  </si>
  <si>
    <t>2018EX02340</t>
  </si>
  <si>
    <t>3733-007-018-0003</t>
  </si>
  <si>
    <t xml:space="preserve">Park for adjacent Skookum Office    </t>
  </si>
  <si>
    <t xml:space="preserve">SDH PROPERTIES LLC                  </t>
  </si>
  <si>
    <t xml:space="preserve">PAASO PROPERTIES LLC                </t>
  </si>
  <si>
    <t>3733-007-019-0002</t>
  </si>
  <si>
    <t xml:space="preserve">2600 Burwell Building               </t>
  </si>
  <si>
    <t>2018EX02423</t>
  </si>
  <si>
    <t>022401-1-002-2001</t>
  </si>
  <si>
    <t xml:space="preserve">BL City Villa 1 of 9                </t>
  </si>
  <si>
    <t>022401-1-024-2005</t>
  </si>
  <si>
    <t xml:space="preserve">BL-Easement 2 of 9                  </t>
  </si>
  <si>
    <t>022401-1-039-2008</t>
  </si>
  <si>
    <t xml:space="preserve">BL City Villa 3 of 9                </t>
  </si>
  <si>
    <t>022401-1-042-2003</t>
  </si>
  <si>
    <t xml:space="preserve">BL City Villa 4 of 9                </t>
  </si>
  <si>
    <t>022401-1-062-2008</t>
  </si>
  <si>
    <t xml:space="preserve">BL City Villa 5 of 9                </t>
  </si>
  <si>
    <t>022401-1-064-2006</t>
  </si>
  <si>
    <t xml:space="preserve">BL City Villa 6 of 9                </t>
  </si>
  <si>
    <t>022401-1-079-2009</t>
  </si>
  <si>
    <t xml:space="preserve">BL City Villa 9 of 9                </t>
  </si>
  <si>
    <t>2018EX02654</t>
  </si>
  <si>
    <t xml:space="preserve">Belfair Valley                </t>
  </si>
  <si>
    <t>022301-2-010-1002</t>
  </si>
  <si>
    <t xml:space="preserve">CAPITAL FINANCIAL LLC               </t>
  </si>
  <si>
    <t xml:space="preserve">MERIDIAN TERRACE LLC                </t>
  </si>
  <si>
    <t>032301-1-005-1000</t>
  </si>
  <si>
    <t>342401-4-001-1000</t>
  </si>
  <si>
    <t xml:space="preserve">Ace Paving - Wilkinson Rd.          </t>
  </si>
  <si>
    <t>342401-4-002-1009</t>
  </si>
  <si>
    <t>342401-4-003-1008</t>
  </si>
  <si>
    <t>BL - RR zone / mineral on Minard Rd.</t>
  </si>
  <si>
    <t>352401-3-010-1000</t>
  </si>
  <si>
    <t xml:space="preserve">BL on McKenna Falls Rd.             </t>
  </si>
  <si>
    <t>352401-3-011-1009</t>
  </si>
  <si>
    <t>BL-RR/mineral S of McKenna Falls Rd.</t>
  </si>
  <si>
    <t>2018EX02763</t>
  </si>
  <si>
    <t xml:space="preserve">VPN TRUSTEE SERVICES INC            </t>
  </si>
  <si>
    <t>2018EX03055</t>
  </si>
  <si>
    <t>3733-006-012-0001</t>
  </si>
  <si>
    <t xml:space="preserve">BL-Parking                          </t>
  </si>
  <si>
    <t xml:space="preserve">CORN DIANE MARIE &amp; ROYBAL DONI      </t>
  </si>
  <si>
    <t xml:space="preserve">BALLERINA LLC                       </t>
  </si>
  <si>
    <t>3733-006-014-0009</t>
  </si>
  <si>
    <t xml:space="preserve">Bremerton Theater                   </t>
  </si>
  <si>
    <t>2018EX03241</t>
  </si>
  <si>
    <t xml:space="preserve">SEASIDE KINGSTON LLC                </t>
  </si>
  <si>
    <t>2018EX03524</t>
  </si>
  <si>
    <t xml:space="preserve">RIDDELL ROAD LLC                    </t>
  </si>
  <si>
    <t>2018EX03961</t>
  </si>
  <si>
    <t xml:space="preserve">East Bremerton                </t>
  </si>
  <si>
    <t>122401-1-125-2001</t>
  </si>
  <si>
    <t xml:space="preserve">Eckankar Worship                    </t>
  </si>
  <si>
    <t xml:space="preserve">WEBSTER LOUISE LEWIS                </t>
  </si>
  <si>
    <t xml:space="preserve">LOZANO FE &amp; PABLO                   </t>
  </si>
  <si>
    <t>122401-1-126-2000</t>
  </si>
  <si>
    <t>2018EX03994</t>
  </si>
  <si>
    <t>132401-3-048-2000</t>
  </si>
  <si>
    <t xml:space="preserve">Parking for 830 Pacific Ave         </t>
  </si>
  <si>
    <t xml:space="preserve">EAGLESON MENTOR JUDY E PERSONA      </t>
  </si>
  <si>
    <t xml:space="preserve">SAYLOR ANDERSON LLC                 </t>
  </si>
  <si>
    <t>132401-3-049-2009</t>
  </si>
  <si>
    <t>Parking lot for 830 Pacific Ave. 072</t>
  </si>
  <si>
    <t>132401-3-072-2009</t>
  </si>
  <si>
    <t xml:space="preserve">830 Pacific Ave Office pkg on 049   </t>
  </si>
  <si>
    <t>2018EX04017</t>
  </si>
  <si>
    <t>3734-010-010-0004</t>
  </si>
  <si>
    <t xml:space="preserve">Parking for Thai Palace             </t>
  </si>
  <si>
    <t xml:space="preserve">BANK OF HOPE                        </t>
  </si>
  <si>
    <t xml:space="preserve">PHATTHARAAMPORNCHAI PHAITHOON &amp;     </t>
  </si>
  <si>
    <t>3734-010-024-0008</t>
  </si>
  <si>
    <t xml:space="preserve">Thai Palace Restaurant              </t>
  </si>
  <si>
    <t>2018EX04262</t>
  </si>
  <si>
    <t>3733-006-017-0105</t>
  </si>
  <si>
    <t>2 story retail Corner Callow/Burwell</t>
  </si>
  <si>
    <t xml:space="preserve">MEURS RENTALS LLC                   </t>
  </si>
  <si>
    <t xml:space="preserve">JASCO LLC                           </t>
  </si>
  <si>
    <t>3733-006-021-0208</t>
  </si>
  <si>
    <t>2018EX04420</t>
  </si>
  <si>
    <t>162501-3-002-2000</t>
  </si>
  <si>
    <t xml:space="preserve">Building A B C and D contig w/ 004  </t>
  </si>
  <si>
    <t xml:space="preserve">CT RETAIL PROPERTIES FINANCE 1      </t>
  </si>
  <si>
    <t xml:space="preserve">SIL-WAY LLC                         </t>
  </si>
  <si>
    <t>162501-3-004-2008</t>
  </si>
  <si>
    <t xml:space="preserve">Building E contig w 002             </t>
  </si>
  <si>
    <t>2018EX04475</t>
  </si>
  <si>
    <t xml:space="preserve">Gunderson                     </t>
  </si>
  <si>
    <t>4386-037-014-0002</t>
  </si>
  <si>
    <t xml:space="preserve">CO--SVR                       </t>
  </si>
  <si>
    <t xml:space="preserve">KIM KI WON &amp; HEA JOON               </t>
  </si>
  <si>
    <t xml:space="preserve">KAJO INC                            </t>
  </si>
  <si>
    <t>4386-037-016-0000</t>
  </si>
  <si>
    <t>4386-037-018-0008</t>
  </si>
  <si>
    <t xml:space="preserve">Suquamish Village Commercial  </t>
  </si>
  <si>
    <t>4390-002-013-0001</t>
  </si>
  <si>
    <t xml:space="preserve">JC's Grocery, US Post Office        </t>
  </si>
  <si>
    <t xml:space="preserve">CO--SVC                       </t>
  </si>
  <si>
    <t>2018EX04533</t>
  </si>
  <si>
    <t>022401-4-068-2006</t>
  </si>
  <si>
    <t xml:space="preserve">Cedar Park Apts                     </t>
  </si>
  <si>
    <t xml:space="preserve">BREMERTON APARTMENTS LLC            </t>
  </si>
  <si>
    <t xml:space="preserve">PROJECT S25 LLC                     </t>
  </si>
  <si>
    <t xml:space="preserve">East Bremerton Uplands City   </t>
  </si>
  <si>
    <t>3978-000-011-0009</t>
  </si>
  <si>
    <t>2018EX04936</t>
  </si>
  <si>
    <t>132401-3-203-2001</t>
  </si>
  <si>
    <t xml:space="preserve">Pleasant View Apts                  </t>
  </si>
  <si>
    <t xml:space="preserve">PLEASANT VIEW APARTMENTS LLC        </t>
  </si>
  <si>
    <t xml:space="preserve">A O PROPERTY INVESTMENTS LLC        </t>
  </si>
  <si>
    <t>132401-3-206-2008</t>
  </si>
  <si>
    <t xml:space="preserve">BL - Parking for lot 203            </t>
  </si>
  <si>
    <t>2018EX05021</t>
  </si>
  <si>
    <t>142601-2-057-2007</t>
  </si>
  <si>
    <t xml:space="preserve">BL- 7th Avenue contig w/059         </t>
  </si>
  <si>
    <t xml:space="preserve">AMOS ROBERT &amp; ELOUISE &amp; CASTLE      </t>
  </si>
  <si>
    <t xml:space="preserve">WESTERN ADVENTIST FOUNDATION        </t>
  </si>
  <si>
    <t>142601-2-058-2006</t>
  </si>
  <si>
    <t xml:space="preserve">BL- 7th Avenue                      </t>
  </si>
  <si>
    <t>142601-2-059-2005</t>
  </si>
  <si>
    <t xml:space="preserve">BL- 7th Avenue contig w/057         </t>
  </si>
  <si>
    <t>142601-2-060-2002</t>
  </si>
  <si>
    <t>2018EX05065</t>
  </si>
  <si>
    <t xml:space="preserve">LYNNWOOD TPVII LLC                  </t>
  </si>
  <si>
    <t>2018EX05113</t>
  </si>
  <si>
    <t>3718-005-022-0000</t>
  </si>
  <si>
    <t xml:space="preserve">525 Washington Ave. Eagles Parking  </t>
  </si>
  <si>
    <t xml:space="preserve">BREMERTON EAGLES AERIE NO 192       </t>
  </si>
  <si>
    <t>3718-005-025-0007</t>
  </si>
  <si>
    <t xml:space="preserve">205 6th St - Eagles Bremerton       </t>
  </si>
  <si>
    <t>2018EX05314</t>
  </si>
  <si>
    <t>052401-3-078-2003</t>
  </si>
  <si>
    <t>American Martial Institute/Engineers</t>
  </si>
  <si>
    <t xml:space="preserve">JONES JOHN G &amp; YORK CARI LYNN       </t>
  </si>
  <si>
    <t>052401-3-079-2002</t>
  </si>
  <si>
    <t xml:space="preserve">BL Chico - contig w/078             </t>
  </si>
  <si>
    <t>2018EX05899</t>
  </si>
  <si>
    <t>282401-1-086-2000</t>
  </si>
  <si>
    <t xml:space="preserve">BL - Proposed Ph 2 Wright Creek     </t>
  </si>
  <si>
    <t xml:space="preserve">THE JWJ GROUP LLC &amp; NATHAN GLEN     </t>
  </si>
  <si>
    <t>5549-000-009-0008</t>
  </si>
  <si>
    <t xml:space="preserve">BL - Lot 9                          </t>
  </si>
  <si>
    <t>2018EX05981</t>
  </si>
  <si>
    <t>192501-2-008-2003</t>
  </si>
  <si>
    <t xml:space="preserve">BL east of Willamette/Meridian Rd   </t>
  </si>
  <si>
    <t xml:space="preserve">CAPTIAL FINANCIAL LLC               </t>
  </si>
  <si>
    <t>PORT ORCHARD SAND &amp; GRAVEL COMPANY I</t>
  </si>
  <si>
    <t>192501-2-009-2002</t>
  </si>
  <si>
    <t>2018EX06029</t>
  </si>
  <si>
    <t>4042-002-001-0007</t>
  </si>
  <si>
    <t xml:space="preserve">Retail &amp; Office                     </t>
  </si>
  <si>
    <t xml:space="preserve">KAESOUNG LLC                        </t>
  </si>
  <si>
    <t xml:space="preserve">100 BETHEL INVESTMENT PARTNERS LLC  </t>
  </si>
  <si>
    <t>4042-002-007-0001</t>
  </si>
  <si>
    <t xml:space="preserve">Former Bank Building                </t>
  </si>
  <si>
    <t>2018EX06340</t>
  </si>
  <si>
    <t>192501-4-062-2002</t>
  </si>
  <si>
    <t xml:space="preserve">BL on east side of  Dickey Rd       </t>
  </si>
  <si>
    <t xml:space="preserve">SAYAH RAYMOND G                     </t>
  </si>
  <si>
    <t xml:space="preserve">PUGET SOUND KIDNEY CENTERS          </t>
  </si>
  <si>
    <t>192501-4-063-2001</t>
  </si>
  <si>
    <t>192501-4-064-2000</t>
  </si>
  <si>
    <t>2018EX06656</t>
  </si>
  <si>
    <t>4369-000-004-0003</t>
  </si>
  <si>
    <t xml:space="preserve">Ptn Courtesy Chevrolet, Used Car    </t>
  </si>
  <si>
    <t xml:space="preserve">KRIEGER KEVIN &amp; JANICE &amp; VARSI      </t>
  </si>
  <si>
    <t xml:space="preserve">WALTER WILLIAMS INVESTMENTS LLC     </t>
  </si>
  <si>
    <t>4369-000-005-0002</t>
  </si>
  <si>
    <t xml:space="preserve">Retail store                        </t>
  </si>
  <si>
    <t>2018EX07469</t>
  </si>
  <si>
    <t xml:space="preserve">GK HEIGHTS LLC                      </t>
  </si>
  <si>
    <t>2018EX07761</t>
  </si>
  <si>
    <t>352401-2-021-2007</t>
  </si>
  <si>
    <t xml:space="preserve">Sherman Ave MHP                     </t>
  </si>
  <si>
    <t xml:space="preserve">PO--RMH                       </t>
  </si>
  <si>
    <t xml:space="preserve">CREECH ROBERTA LORENZ TRUSTEE       </t>
  </si>
  <si>
    <t xml:space="preserve">PORT ORCHARD INVESTMENTS LLC        </t>
  </si>
  <si>
    <t>2018EX07842</t>
  </si>
  <si>
    <t>232601-1-132-2007</t>
  </si>
  <si>
    <t xml:space="preserve">BL Hostmark contig 133              </t>
  </si>
  <si>
    <t xml:space="preserve">WELCH JAMES T &amp; LYNDA SUE           </t>
  </si>
  <si>
    <t>DESK PROPERTIES LLC &amp; SLUYS DANIEL E</t>
  </si>
  <si>
    <t>232601-1-133-2006</t>
  </si>
  <si>
    <t xml:space="preserve">Hostmark Office                     </t>
  </si>
  <si>
    <t>2018EX07894</t>
  </si>
  <si>
    <t>152501-3-016-2005</t>
  </si>
  <si>
    <t xml:space="preserve">Proposed 15,000 SF Office Bldg      </t>
  </si>
  <si>
    <t xml:space="preserve">KITSAP TRANSIT                      </t>
  </si>
  <si>
    <t>152501-3-089-2007</t>
  </si>
  <si>
    <t xml:space="preserve">BL-corner Ridgetop/Sid Uhinc        </t>
  </si>
  <si>
    <t>2018EX08737</t>
  </si>
  <si>
    <t>012301-3-009-1004</t>
  </si>
  <si>
    <t xml:space="preserve">BL on Hwy 3 contig w/ 2-001         </t>
  </si>
  <si>
    <t xml:space="preserve">H&amp;H INDUSTRIAL LLC                  </t>
  </si>
  <si>
    <t xml:space="preserve">MARCUA J MEYER                      </t>
  </si>
  <si>
    <t>122301-2-001-1001</t>
  </si>
  <si>
    <t xml:space="preserve">SFR &amp; Misc Hwy 3 N of Aero MHP      </t>
  </si>
  <si>
    <t>2018EX08971</t>
  </si>
  <si>
    <t>132401-3-037-2003</t>
  </si>
  <si>
    <t xml:space="preserve">ROBISON RUSSELL &amp; ROBISON GREE      </t>
  </si>
  <si>
    <t xml:space="preserve">AVH INVESTMENTS LLC                 </t>
  </si>
  <si>
    <t>132401-3-038-2002</t>
  </si>
  <si>
    <t>132401-3-078-2003</t>
  </si>
  <si>
    <t xml:space="preserve">7 Units @ 926 Pacific Ave           </t>
  </si>
  <si>
    <t>132401-3-079-2002</t>
  </si>
  <si>
    <t xml:space="preserve">928 Pacific Apts                    </t>
  </si>
  <si>
    <t>132401-3-080-2009</t>
  </si>
  <si>
    <t>2018EX08976</t>
  </si>
  <si>
    <t>8123-000-112-0000</t>
  </si>
  <si>
    <t xml:space="preserve">Madrona Commons Bldg A Unit 112     </t>
  </si>
  <si>
    <t xml:space="preserve">KORTEN DAVID C &amp; FRANCES F          </t>
  </si>
  <si>
    <t xml:space="preserve">YESAND LLC                          </t>
  </si>
  <si>
    <t>8123-000-116-0006</t>
  </si>
  <si>
    <t xml:space="preserve">Madrona Commons Bldg A Unit 116     </t>
  </si>
  <si>
    <t>8123-000-120-0000</t>
  </si>
  <si>
    <t xml:space="preserve">Madrona Commons Bldg A Unit 120     </t>
  </si>
  <si>
    <t>2018EX09075</t>
  </si>
  <si>
    <t>342601-1-090-2004</t>
  </si>
  <si>
    <t>2018EX09117</t>
  </si>
  <si>
    <t>322401-3-044-2001</t>
  </si>
  <si>
    <t xml:space="preserve">PUGET WESTERN INC                   </t>
  </si>
  <si>
    <t xml:space="preserve">JSA INVESTMENT LLC                  </t>
  </si>
  <si>
    <t>2018EX09223</t>
  </si>
  <si>
    <t>2018EX09276</t>
  </si>
  <si>
    <t>222401-2-103-2003</t>
  </si>
  <si>
    <t xml:space="preserve">Land only on Arsenal Way            </t>
  </si>
  <si>
    <t xml:space="preserve">ARSENAL WAY LLC                     </t>
  </si>
  <si>
    <t>222401-2-104-2002</t>
  </si>
  <si>
    <t>3536 Arsenal Way - Prior dance &amp; SFR</t>
  </si>
  <si>
    <t>222401-2-105-2001</t>
  </si>
  <si>
    <t>Land only Marion Av N of Arsenal Way</t>
  </si>
  <si>
    <t>2018EX09342</t>
  </si>
  <si>
    <t>3810-001-011-0009</t>
  </si>
  <si>
    <t xml:space="preserve">BL-Portion Parking                  </t>
  </si>
  <si>
    <t xml:space="preserve">KERR DENNIS                         </t>
  </si>
  <si>
    <t xml:space="preserve">CHRISTOFFERSON GLEN &amp; SUE ET AL     </t>
  </si>
  <si>
    <t>3810-001-016-0004</t>
  </si>
  <si>
    <t xml:space="preserve">2500 Rainier Bldg                   </t>
  </si>
  <si>
    <t>2018EX09520</t>
  </si>
  <si>
    <t>172501-4-073-2001</t>
  </si>
  <si>
    <t>Exempt- Silvercrest Sec 515 Sr. Apts</t>
  </si>
  <si>
    <t xml:space="preserve">MERCY PROPERTIES WA I LLC           </t>
  </si>
  <si>
    <t>172501-4-073-2100</t>
  </si>
  <si>
    <t xml:space="preserve">Txbl-Laundry room -Silvercrest Apts </t>
  </si>
  <si>
    <t>2018EX09553</t>
  </si>
  <si>
    <t xml:space="preserve">CHRISTOFFERSON GLEN &amp; SUE ET A      </t>
  </si>
  <si>
    <t xml:space="preserve">SHIN GROUP 2018 LLC                 </t>
  </si>
  <si>
    <t>2018EX09579</t>
  </si>
  <si>
    <t>3966-003-001-1304</t>
  </si>
  <si>
    <t xml:space="preserve">Taxable - Peninsula Medical Bldg    </t>
  </si>
  <si>
    <t xml:space="preserve">PENINSULA MEDICAL BUILDING ASS      </t>
  </si>
  <si>
    <t xml:space="preserve">BAY VU INVESTMENTS                  </t>
  </si>
  <si>
    <t>3966-003-001-1908</t>
  </si>
  <si>
    <t xml:space="preserve">Exempt -Peninsula Medical Bldg      </t>
  </si>
  <si>
    <t>2018EX09641</t>
  </si>
  <si>
    <t xml:space="preserve">Lofall                        </t>
  </si>
  <si>
    <t>262701-2-015-2003</t>
  </si>
  <si>
    <t xml:space="preserve">ROSS ENTERPRISES LLC                </t>
  </si>
  <si>
    <t xml:space="preserve">ALLEGIANCE CAPITAL INC              </t>
  </si>
  <si>
    <t>272701-1-019-2000</t>
  </si>
  <si>
    <t xml:space="preserve">BL-NW corner of Pioneer Wy and Hwy3 </t>
  </si>
  <si>
    <t>2018EX09681</t>
  </si>
  <si>
    <t>4463-000-002-0000</t>
  </si>
  <si>
    <t xml:space="preserve">Lee Shore Apartments                </t>
  </si>
  <si>
    <t xml:space="preserve">LEE PROPERTIES LLC                  </t>
  </si>
  <si>
    <t xml:space="preserve">SILVERDALE PARK SHORES LLC          </t>
  </si>
  <si>
    <t>4463-000-003-0009</t>
  </si>
  <si>
    <t xml:space="preserve">Inlet Shore Waterfront Suites       </t>
  </si>
  <si>
    <t>4463-000-004-0008</t>
  </si>
  <si>
    <t xml:space="preserve">Lee Shores                          </t>
  </si>
  <si>
    <t>2018EX09770</t>
  </si>
  <si>
    <t xml:space="preserve">450 SOUTH KITSAP BOULEVARD LLC      </t>
  </si>
  <si>
    <t>2018EX09772</t>
  </si>
  <si>
    <t>202401-4-001-2004</t>
  </si>
  <si>
    <t xml:space="preserve">BL Quarry                           </t>
  </si>
  <si>
    <t xml:space="preserve">HARBOR CUSTOM HOMES INC &amp;           </t>
  </si>
  <si>
    <t xml:space="preserve">OLYMPIC VIEWS LLC                   </t>
  </si>
  <si>
    <t>202401-4-002-2003</t>
  </si>
  <si>
    <t>4597-000-112-0204</t>
  </si>
  <si>
    <t xml:space="preserve">BL West end of Werner rd            </t>
  </si>
  <si>
    <t>4597-000-193-0008</t>
  </si>
  <si>
    <t>2018EX09930</t>
  </si>
  <si>
    <t>232601-1-092-2005</t>
  </si>
  <si>
    <t xml:space="preserve">BL Paved Adj to Hwy 305 w/093       </t>
  </si>
  <si>
    <t>232601-1-093-2004</t>
  </si>
  <si>
    <t xml:space="preserve">BL-Parking adj to Hwy 305 w/092     </t>
  </si>
  <si>
    <t>2018EX10043</t>
  </si>
  <si>
    <t>5601-000-006-0105</t>
  </si>
  <si>
    <t xml:space="preserve">Parcel 1                            </t>
  </si>
  <si>
    <t xml:space="preserve">BR-549 HOLDINGS LLC                 </t>
  </si>
  <si>
    <t>5601-000-006-0204</t>
  </si>
  <si>
    <t xml:space="preserve">Parcel 2                            </t>
  </si>
  <si>
    <t>2018EX10061</t>
  </si>
  <si>
    <t>312402-1-053-2003</t>
  </si>
  <si>
    <t xml:space="preserve">Nowka's Automotive                  </t>
  </si>
  <si>
    <t xml:space="preserve">NOWKA ROBERT W &amp; JUDITH A           </t>
  </si>
  <si>
    <t>312402-1-058-2008</t>
  </si>
  <si>
    <t xml:space="preserve">Storage shed &amp; parking Nowka's      </t>
  </si>
  <si>
    <t>2019EX00182</t>
  </si>
  <si>
    <t xml:space="preserve">AKTIV LLC                           </t>
  </si>
  <si>
    <t>2019EX00249</t>
  </si>
  <si>
    <t>162501-3-092-2001</t>
  </si>
  <si>
    <t xml:space="preserve">CPI/AHP SILVERDALE MOB OWNER LLC    </t>
  </si>
  <si>
    <t>162501-4-119-2008</t>
  </si>
  <si>
    <t xml:space="preserve">Building Four                       </t>
  </si>
  <si>
    <t>2019EX00481</t>
  </si>
  <si>
    <t>042402-1-002-2008</t>
  </si>
  <si>
    <t xml:space="preserve">Demo'd Former Serenity Group Home   </t>
  </si>
  <si>
    <t xml:space="preserve">SERENITY HOLDINGS BAINBRIDGE L      </t>
  </si>
  <si>
    <t xml:space="preserve">COMMUTER CENTER LLC                 </t>
  </si>
  <si>
    <t xml:space="preserve">South Bainbridge              </t>
  </si>
  <si>
    <t>042402-1-003-2007</t>
  </si>
  <si>
    <t xml:space="preserve">BI--R-5                       </t>
  </si>
  <si>
    <t>042402-1-006-2004</t>
  </si>
  <si>
    <t>2019EX00664</t>
  </si>
  <si>
    <t>3719-001-028-0101</t>
  </si>
  <si>
    <t xml:space="preserve">BL Abutting Highway 3/16            </t>
  </si>
  <si>
    <t xml:space="preserve">LATHROP DAN H &amp; ELIZABETH A &amp;       </t>
  </si>
  <si>
    <t>KITSAP MENTAL HEALTH SERVICES CORPOR</t>
  </si>
  <si>
    <t>3719-001-029-0001</t>
  </si>
  <si>
    <t xml:space="preserve">BL on Kitsap Way                    </t>
  </si>
  <si>
    <t>2019EX00689</t>
  </si>
  <si>
    <t>8216-000-101-0001</t>
  </si>
  <si>
    <t xml:space="preserve">Waterfront offices- Unit 101        </t>
  </si>
  <si>
    <t>KITSAP LAW GROUP LLC &amp; BROUGHTON WIL</t>
  </si>
  <si>
    <t>8216-000-104-0008</t>
  </si>
  <si>
    <t xml:space="preserve">Waterfront offices- Unit 104        </t>
  </si>
  <si>
    <t>2019EX01517</t>
  </si>
  <si>
    <t>3760-000-005-0108</t>
  </si>
  <si>
    <t xml:space="preserve">west half                           </t>
  </si>
  <si>
    <t xml:space="preserve">LANE MEYER LLC                      </t>
  </si>
  <si>
    <t xml:space="preserve">NEWTON JACK &amp; ANNA &amp;                </t>
  </si>
  <si>
    <t>3760-000-005-0207</t>
  </si>
  <si>
    <t xml:space="preserve">east half                           </t>
  </si>
  <si>
    <t>3760-000-006-0008</t>
  </si>
  <si>
    <t xml:space="preserve">East bldg                           </t>
  </si>
  <si>
    <t>2019EX01969</t>
  </si>
  <si>
    <t xml:space="preserve">WC DEV 360 LLC                      </t>
  </si>
  <si>
    <t>2019EX02091</t>
  </si>
  <si>
    <t>3735-022-012-0006</t>
  </si>
  <si>
    <t xml:space="preserve">BL NW Corner of 9th and Callow      </t>
  </si>
  <si>
    <t xml:space="preserve">COYLE ROGERT T ET AL                </t>
  </si>
  <si>
    <t xml:space="preserve">ELYSEE CHOCOLATES LLC               </t>
  </si>
  <si>
    <t>3735-022-026-0000</t>
  </si>
  <si>
    <t xml:space="preserve">Wycoff btwn 9th &amp; 11th parking lot  </t>
  </si>
  <si>
    <t>2019EX02162</t>
  </si>
  <si>
    <t>4316-008-001-0003</t>
  </si>
  <si>
    <t xml:space="preserve">Retail on Ferry load lines          </t>
  </si>
  <si>
    <t xml:space="preserve">RODGERS SUSAN                       </t>
  </si>
  <si>
    <t xml:space="preserve">MELCO360 LLC                        </t>
  </si>
  <si>
    <t>4316-008-001-0607</t>
  </si>
  <si>
    <t xml:space="preserve">Retail Ferry Loading zone           </t>
  </si>
  <si>
    <t>2019EX03455</t>
  </si>
  <si>
    <t>5601-000-001-0001</t>
  </si>
  <si>
    <t xml:space="preserve">Lot 1                               </t>
  </si>
  <si>
    <t>5601-000-008-0004</t>
  </si>
  <si>
    <t xml:space="preserve">Lot 8                               </t>
  </si>
  <si>
    <t>2019EX04069</t>
  </si>
  <si>
    <t>5662-000-001-0007</t>
  </si>
  <si>
    <t xml:space="preserve">BAINBRIDGE LANDING LLC              </t>
  </si>
  <si>
    <t>5662-000-002-0006</t>
  </si>
  <si>
    <t>5662-000-003-0005</t>
  </si>
  <si>
    <t>5662-000-004-0004</t>
  </si>
  <si>
    <t>5662-000-005-0003</t>
  </si>
  <si>
    <t>5662-000-006-0002</t>
  </si>
  <si>
    <t>5662-000-007-0001</t>
  </si>
  <si>
    <t>5662-000-008-0000</t>
  </si>
  <si>
    <t>5662-000-009-0009</t>
  </si>
  <si>
    <t>5662-000-010-0006</t>
  </si>
  <si>
    <t>5662-000-011-0005</t>
  </si>
  <si>
    <t>5662-000-012-0004</t>
  </si>
  <si>
    <t>5662-000-013-0003</t>
  </si>
  <si>
    <t>5662-000-014-0002</t>
  </si>
  <si>
    <t>5662-000-015-0001</t>
  </si>
  <si>
    <t>5662-000-016-0000</t>
  </si>
  <si>
    <t>5662-000-017-0009</t>
  </si>
  <si>
    <t>5662-000-018-0008</t>
  </si>
  <si>
    <t>5662-000-019-0007</t>
  </si>
  <si>
    <t>5662-000-020-0004</t>
  </si>
  <si>
    <t>5662-000-021-0003</t>
  </si>
  <si>
    <t>5662-000-022-0002</t>
  </si>
  <si>
    <t>5662-000-023-0001</t>
  </si>
  <si>
    <t>5662-000-024-0000</t>
  </si>
  <si>
    <t>5662-000-025-0009</t>
  </si>
  <si>
    <t>5662-000-026-0008</t>
  </si>
  <si>
    <t xml:space="preserve">BLIS Apartment                      </t>
  </si>
  <si>
    <t xml:space="preserve">760- Parks                    </t>
  </si>
  <si>
    <t>5662-000-027-0007</t>
  </si>
  <si>
    <t xml:space="preserve">BBI Public Park area                </t>
  </si>
  <si>
    <t>5662-000-028-0006</t>
  </si>
  <si>
    <t>5662-000-029-0005</t>
  </si>
  <si>
    <t>5662-000-030-0002</t>
  </si>
  <si>
    <t>2019EX04125</t>
  </si>
  <si>
    <t>152601-1-146-2001</t>
  </si>
  <si>
    <t xml:space="preserve">BL corner of Torval Canyon &amp; Front  </t>
  </si>
  <si>
    <t xml:space="preserve">POULSBO TORVAL LLC                  </t>
  </si>
  <si>
    <t>152601-1-147-2000</t>
  </si>
  <si>
    <t xml:space="preserve">Poulsbo Harbor View Apartment Homes </t>
  </si>
  <si>
    <t>2019EX04570</t>
  </si>
  <si>
    <t xml:space="preserve">KITSAP CARE LLC                     </t>
  </si>
  <si>
    <t>2019EX05155</t>
  </si>
  <si>
    <t>192501-2-023-2004</t>
  </si>
  <si>
    <t xml:space="preserve">BSP Lot A                           </t>
  </si>
  <si>
    <t xml:space="preserve">BOICE DEREK &amp; TIFFANY F             </t>
  </si>
  <si>
    <t xml:space="preserve">JENSEN CYNTHIA                      </t>
  </si>
  <si>
    <t>192501-2-024-2003</t>
  </si>
  <si>
    <t xml:space="preserve">BSP Lot B                           </t>
  </si>
  <si>
    <t>2019EX05351</t>
  </si>
  <si>
    <t>4062-007-011-0009</t>
  </si>
  <si>
    <t xml:space="preserve">BL north of Bethel Round-a-bout     </t>
  </si>
  <si>
    <t xml:space="preserve">SEPAND LLC                          </t>
  </si>
  <si>
    <t xml:space="preserve">HURST AND SONS LLC                  </t>
  </si>
  <si>
    <t>4062-008-001-0009</t>
  </si>
  <si>
    <t xml:space="preserve">591 Bethel Building                 </t>
  </si>
  <si>
    <t>2019EX05477</t>
  </si>
  <si>
    <t>8195-000-001-0007</t>
  </si>
  <si>
    <t xml:space="preserve">Sound Brewery                       </t>
  </si>
  <si>
    <t xml:space="preserve">MONTONEY PROPERTIES LLC             </t>
  </si>
  <si>
    <t>8195-000-002-0006</t>
  </si>
  <si>
    <t>8195-000-003-0005</t>
  </si>
  <si>
    <t>2019EX05535</t>
  </si>
  <si>
    <t>302501-1-023-2001</t>
  </si>
  <si>
    <t xml:space="preserve">Hunt's Warehouse access off Caitlin </t>
  </si>
  <si>
    <t xml:space="preserve">HUNT GREG B &amp; NANCY C               </t>
  </si>
  <si>
    <t xml:space="preserve">HERDMAN PROPERTIES LLC              </t>
  </si>
  <si>
    <t>302501-1-024-2000</t>
  </si>
  <si>
    <t xml:space="preserve">Hunt's Warehouse on Caitlin         </t>
  </si>
  <si>
    <t>2019EX05916</t>
  </si>
  <si>
    <t>2019EX05917</t>
  </si>
  <si>
    <t>2019EX06264</t>
  </si>
  <si>
    <t>3718-017-011-0008</t>
  </si>
  <si>
    <t xml:space="preserve">KPS Parking Lot 5th Street          </t>
  </si>
  <si>
    <t xml:space="preserve">KAISER FOUNDATION HEALTH PLAN       </t>
  </si>
  <si>
    <t xml:space="preserve">WARREN TOWER LLC                    </t>
  </si>
  <si>
    <t>3718-018-001-0008</t>
  </si>
  <si>
    <t xml:space="preserve">Professional Bldg                   </t>
  </si>
  <si>
    <t>3718-018-008-0001</t>
  </si>
  <si>
    <t xml:space="preserve">Group Health 4th St. Parking (PVT)  </t>
  </si>
  <si>
    <t>3718-018-009-0000</t>
  </si>
  <si>
    <t xml:space="preserve">856 4th.Group Health paved parking  </t>
  </si>
  <si>
    <t>3718-018-032-0001</t>
  </si>
  <si>
    <t xml:space="preserve">5th St. Narrw Paved parking lot KPS </t>
  </si>
  <si>
    <t>3718-018-033-0000</t>
  </si>
  <si>
    <t xml:space="preserve">KPS 5th Street Parking Lot          </t>
  </si>
  <si>
    <t>2019EX06517</t>
  </si>
  <si>
    <t xml:space="preserve">HASTING MICHAEL D &amp; TOWNSEND W      </t>
  </si>
  <si>
    <t xml:space="preserve">BRYANT REVERSE LLC                  </t>
  </si>
  <si>
    <t>2019EX06602</t>
  </si>
  <si>
    <t xml:space="preserve">LIM MUN KUE &amp; MYUNG JA TRUSTEE      </t>
  </si>
  <si>
    <t>2019EX06661</t>
  </si>
  <si>
    <t>362401-2-053-2007</t>
  </si>
  <si>
    <t xml:space="preserve">SFR west of PO Paint Store          </t>
  </si>
  <si>
    <t xml:space="preserve">MASTERSON KATHLEEN &amp; CONNELL B      </t>
  </si>
  <si>
    <t>4031-005-001-0003</t>
  </si>
  <si>
    <t xml:space="preserve">BL north of Bethel Roundabout       </t>
  </si>
  <si>
    <t>4031-005-016-0105</t>
  </si>
  <si>
    <t xml:space="preserve">BL- W of Bethel off South           </t>
  </si>
  <si>
    <t>2019EX06783</t>
  </si>
  <si>
    <t>3778-003-018-0107</t>
  </si>
  <si>
    <t xml:space="preserve">Gravel Parking Lot tgw 019-00       </t>
  </si>
  <si>
    <t xml:space="preserve">DISABLED AMERICAN VETERANS BRE      </t>
  </si>
  <si>
    <t xml:space="preserve">CASCADIA COLLECTIVE LLC             </t>
  </si>
  <si>
    <t>3778-003-019-0007</t>
  </si>
  <si>
    <t xml:space="preserve">Disabled American Veterans Hall     </t>
  </si>
  <si>
    <t>2019EX06980</t>
  </si>
  <si>
    <t>212401-2-079-2004</t>
  </si>
  <si>
    <t xml:space="preserve">BL One Lot Back on Werner Rd.       </t>
  </si>
  <si>
    <t xml:space="preserve">THE JOHN KARL GJENDEM &amp; SALLY-      </t>
  </si>
  <si>
    <t xml:space="preserve">200 ACRES PARTNERS LLC              </t>
  </si>
  <si>
    <t>212401-2-080-2001</t>
  </si>
  <si>
    <t xml:space="preserve">Ind zoned land off Werner Rd.       </t>
  </si>
  <si>
    <t>212401-2-081-2000</t>
  </si>
  <si>
    <t>212401-2-082-2009</t>
  </si>
  <si>
    <t xml:space="preserve">BL-Off Werner Rd                    </t>
  </si>
  <si>
    <t>2019EX07057</t>
  </si>
  <si>
    <t>172501-3-018-2001</t>
  </si>
  <si>
    <t xml:space="preserve">SHATTUCK RICHARD B &amp; PATTI P        </t>
  </si>
  <si>
    <t xml:space="preserve">ALLEN MICHAEL F &amp; KRISTEN           </t>
  </si>
  <si>
    <t>172501-3-078-2008</t>
  </si>
  <si>
    <t xml:space="preserve">Shattuck Attorney Office Conv SFR   </t>
  </si>
  <si>
    <t>2019EX07540</t>
  </si>
  <si>
    <t>CG SILVERDALE LLC &amp; JSP SILVERDALE L</t>
  </si>
  <si>
    <t>2019EX07903</t>
  </si>
  <si>
    <t>3718-014-016-0000</t>
  </si>
  <si>
    <t xml:space="preserve">538 Burwell  - Land near tunnel     </t>
  </si>
  <si>
    <t xml:space="preserve">SORIANO BROTHERS INVESTMENT CO      </t>
  </si>
  <si>
    <t xml:space="preserve">TASTEE CRUMB LLC                    </t>
  </si>
  <si>
    <t>3718-014-018-0008</t>
  </si>
  <si>
    <t xml:space="preserve">532 Burwell St - parking garage     </t>
  </si>
  <si>
    <t>3718-014-020-0004</t>
  </si>
  <si>
    <t xml:space="preserve">524 Burwell St - parking garage     </t>
  </si>
  <si>
    <t>3718-018-015-0002</t>
  </si>
  <si>
    <t xml:space="preserve">401 Park Ave - Parking Lot          </t>
  </si>
  <si>
    <t>2019EX07905</t>
  </si>
  <si>
    <t>3718-007-019-0001</t>
  </si>
  <si>
    <t xml:space="preserve">325 Washington Ave  - parking lot   </t>
  </si>
  <si>
    <t>3718-007-030-0006</t>
  </si>
  <si>
    <t xml:space="preserve">Mehner Bldg                         </t>
  </si>
  <si>
    <t>3718-008-015-0003</t>
  </si>
  <si>
    <t>Parking lot adj to 221 Wa St. 15 spc</t>
  </si>
  <si>
    <t>3718-014-022-0002</t>
  </si>
  <si>
    <t xml:space="preserve">301 Pacific/520 Burwell Retail      </t>
  </si>
  <si>
    <t>3718-014-026-0008</t>
  </si>
  <si>
    <t xml:space="preserve">4th St &amp; Pacific Ave- Office        </t>
  </si>
  <si>
    <t>3718-014-030-0002</t>
  </si>
  <si>
    <t xml:space="preserve">509 4th St- Mistarian Roses         </t>
  </si>
  <si>
    <t>3718-014-030-0101</t>
  </si>
  <si>
    <t>4th St- Fingers Duke Screen Printing</t>
  </si>
  <si>
    <t>3718-014-032-0000</t>
  </si>
  <si>
    <t xml:space="preserve">Brinkerhoff's Appliances            </t>
  </si>
  <si>
    <t>3718-014-033-0009</t>
  </si>
  <si>
    <t xml:space="preserve">535 4th St - Parking garage         </t>
  </si>
  <si>
    <t>3718-014-036-0006</t>
  </si>
  <si>
    <t xml:space="preserve">605 4th St Game Wizard              </t>
  </si>
  <si>
    <t>3718-018-012-0005</t>
  </si>
  <si>
    <t xml:space="preserve">832 4th Street - Parking Lot        </t>
  </si>
  <si>
    <t>3718-019-031-0000</t>
  </si>
  <si>
    <t xml:space="preserve">841 4th Street - Parking lot        </t>
  </si>
  <si>
    <t>3718-019-035-0006</t>
  </si>
  <si>
    <t xml:space="preserve">875 4th Street - Parking lot        </t>
  </si>
  <si>
    <t>2019EX07943</t>
  </si>
  <si>
    <t>4388-001-001-0100</t>
  </si>
  <si>
    <t xml:space="preserve">Blossom Brothers Construction       </t>
  </si>
  <si>
    <t xml:space="preserve">BLOSSOM RANDI B &amp; DONNA L           </t>
  </si>
  <si>
    <t xml:space="preserve">ROHLINGER CLYDE A &amp; DOROTHY J       </t>
  </si>
  <si>
    <t>4388-001-048-0006</t>
  </si>
  <si>
    <t>2019EX08229</t>
  </si>
  <si>
    <t>122401-1-032-2003</t>
  </si>
  <si>
    <t xml:space="preserve">White Horse Bar &amp; Grill             </t>
  </si>
  <si>
    <t xml:space="preserve">REYES EDGAR D &amp; JULIE TRUSTEES      </t>
  </si>
  <si>
    <t>4575-000-019-0204</t>
  </si>
  <si>
    <t xml:space="preserve">BL-Parking for restaurant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</si>
</sst>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164" fontId="3" fillId="2" borderId="0" xfId="1" applyNumberFormat="1" applyFont="1" applyFill="1" applyAlignment="1">
      <alignment horizontal="center" vertical="center"/>
    </xf>
    <xf numFmtId="3" fontId="3" fillId="2" borderId="0" xfId="1" applyNumberFormat="1" applyFont="1" applyFill="1" applyAlignment="1">
      <alignment horizontal="right" vertical="center"/>
    </xf>
    <xf numFmtId="2" fontId="3" fillId="2" borderId="0" xfId="1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indent="1"/>
    </xf>
    <xf numFmtId="164" fontId="5" fillId="0" borderId="0" xfId="1" applyNumberFormat="1" applyFont="1" applyAlignment="1">
      <alignment horizontal="center" vertical="center"/>
    </xf>
    <xf numFmtId="3" fontId="5" fillId="0" borderId="0" xfId="1" applyNumberFormat="1" applyFont="1" applyAlignment="1">
      <alignment horizontal="right" vertical="center"/>
    </xf>
    <xf numFmtId="2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1" fillId="0" borderId="0" xfId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 indent="1"/>
    </xf>
    <xf numFmtId="164" fontId="4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right"/>
    </xf>
    <xf numFmtId="2" fontId="4" fillId="0" borderId="0" xfId="1" applyNumberFormat="1" applyFont="1" applyAlignment="1">
      <alignment horizontal="right"/>
    </xf>
    <xf numFmtId="0" fontId="4" fillId="0" borderId="0" xfId="1" applyFont="1"/>
    <xf numFmtId="0" fontId="7" fillId="0" borderId="0" xfId="2" applyFont="1" applyAlignment="1">
      <alignment horizontal="center"/>
    </xf>
  </cellXfs>
  <cellStyles count="3">
    <cellStyle name="Hyperlink" xfId="2" builtinId="8"/>
    <cellStyle name="Normal" xfId="0" builtinId="0"/>
    <cellStyle name="Normal 2" xfId="1" xr:uid="{DAD4784F-D8E7-4B73-86D2-C718F76DF5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B378F-BF54-4918-9DCC-709D0070B9C1}">
  <sheetPr codeName="Sheet3"/>
  <dimension ref="A1:O987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4.25" x14ac:dyDescent="0.2"/>
  <cols>
    <col min="1" max="1" width="13.140625" style="15" customWidth="1"/>
    <col min="2" max="2" width="52.42578125" style="16" customWidth="1"/>
    <col min="3" max="3" width="11.140625" style="15" customWidth="1"/>
    <col min="4" max="4" width="35.7109375" style="16" customWidth="1"/>
    <col min="5" max="5" width="20.7109375" style="15" customWidth="1"/>
    <col min="6" max="6" width="14.7109375" style="15" customWidth="1"/>
    <col min="7" max="7" width="43.140625" style="16" bestFit="1" customWidth="1"/>
    <col min="8" max="8" width="12" style="17" customWidth="1"/>
    <col min="9" max="9" width="11.85546875" style="18" customWidth="1"/>
    <col min="10" max="10" width="8.28515625" style="19" customWidth="1"/>
    <col min="11" max="11" width="40.140625" style="16" customWidth="1"/>
    <col min="12" max="12" width="28.140625" style="16" customWidth="1"/>
    <col min="13" max="14" width="50.7109375" style="16" customWidth="1"/>
    <col min="15" max="16384" width="9.140625" style="20"/>
  </cols>
  <sheetData>
    <row r="1" spans="1:15" s="7" customFormat="1" ht="21" customHeight="1" x14ac:dyDescent="0.25">
      <c r="A1" s="1" t="s">
        <v>0</v>
      </c>
      <c r="B1" s="1"/>
      <c r="C1" s="1"/>
      <c r="D1" s="1"/>
      <c r="E1" s="2"/>
      <c r="F1" s="2"/>
      <c r="G1" s="3"/>
      <c r="H1" s="4"/>
      <c r="I1" s="5"/>
      <c r="J1" s="6"/>
      <c r="K1" s="3"/>
      <c r="L1" s="3"/>
      <c r="M1" s="3"/>
      <c r="N1" s="3"/>
    </row>
    <row r="2" spans="1:15" s="14" customFormat="1" ht="27" customHeight="1" x14ac:dyDescent="0.2">
      <c r="A2" s="8" t="s">
        <v>1</v>
      </c>
      <c r="B2" s="9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2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3"/>
    </row>
    <row r="3" spans="1:15" ht="20.100000000000001" customHeight="1" x14ac:dyDescent="0.25">
      <c r="A3" s="15" t="s">
        <v>15</v>
      </c>
      <c r="B3" s="16" t="s">
        <v>16</v>
      </c>
      <c r="C3" s="15">
        <v>8100505</v>
      </c>
      <c r="D3" s="16" t="s">
        <v>17</v>
      </c>
      <c r="E3" s="15" t="s">
        <v>18</v>
      </c>
      <c r="F3" s="21" t="str">
        <f>HYPERLINK("https://psearch.kitsapgov.com/webappa/index.html?parcelID=2093821&amp;Theme=Imagery","2093821")</f>
        <v>2093821</v>
      </c>
      <c r="G3" s="16" t="s">
        <v>19</v>
      </c>
      <c r="H3" s="17">
        <v>42006</v>
      </c>
      <c r="I3" s="18">
        <v>200000</v>
      </c>
      <c r="J3" s="19">
        <v>0</v>
      </c>
      <c r="L3" s="16" t="s">
        <v>20</v>
      </c>
      <c r="M3" s="16" t="s">
        <v>21</v>
      </c>
      <c r="N3" s="16" t="s">
        <v>22</v>
      </c>
    </row>
    <row r="4" spans="1:15" ht="20.100000000000001" customHeight="1" x14ac:dyDescent="0.25">
      <c r="A4" s="15" t="s">
        <v>23</v>
      </c>
      <c r="B4" s="16" t="s">
        <v>24</v>
      </c>
      <c r="C4" s="15">
        <v>8100506</v>
      </c>
      <c r="D4" s="16" t="s">
        <v>25</v>
      </c>
      <c r="E4" s="15" t="s">
        <v>26</v>
      </c>
      <c r="F4" s="21" t="str">
        <f>HYPERLINK("https://psearch.kitsapgov.com/webappa/index.html?parcelID=2394617&amp;Theme=Imagery","2394617")</f>
        <v>2394617</v>
      </c>
      <c r="G4" s="16" t="s">
        <v>27</v>
      </c>
      <c r="H4" s="17">
        <v>42011</v>
      </c>
      <c r="I4" s="18">
        <v>325000</v>
      </c>
      <c r="J4" s="19">
        <v>0.69</v>
      </c>
      <c r="K4" s="16" t="s">
        <v>28</v>
      </c>
      <c r="L4" s="16" t="s">
        <v>29</v>
      </c>
      <c r="M4" s="16" t="s">
        <v>30</v>
      </c>
      <c r="N4" s="16" t="s">
        <v>31</v>
      </c>
    </row>
    <row r="5" spans="1:15" ht="20.100000000000001" customHeight="1" x14ac:dyDescent="0.25">
      <c r="A5" s="15" t="s">
        <v>32</v>
      </c>
      <c r="B5" s="16" t="s">
        <v>33</v>
      </c>
      <c r="C5" s="15">
        <v>8402306</v>
      </c>
      <c r="D5" s="16" t="s">
        <v>34</v>
      </c>
      <c r="E5" s="15" t="s">
        <v>35</v>
      </c>
      <c r="F5" s="21" t="str">
        <f>HYPERLINK("https://psearch.kitsapgov.com/webappa/index.html?parcelID=1738616&amp;Theme=Imagery","1738616")</f>
        <v>1738616</v>
      </c>
      <c r="G5" s="16" t="s">
        <v>36</v>
      </c>
      <c r="H5" s="17">
        <v>42013</v>
      </c>
      <c r="I5" s="18">
        <v>380000</v>
      </c>
      <c r="J5" s="19">
        <v>0.13</v>
      </c>
      <c r="K5" s="16" t="s">
        <v>37</v>
      </c>
      <c r="L5" s="16" t="s">
        <v>38</v>
      </c>
      <c r="M5" s="16" t="s">
        <v>39</v>
      </c>
      <c r="N5" s="16" t="s">
        <v>40</v>
      </c>
    </row>
    <row r="6" spans="1:15" ht="20.100000000000001" customHeight="1" x14ac:dyDescent="0.25">
      <c r="A6" s="15" t="s">
        <v>41</v>
      </c>
      <c r="B6" s="16" t="s">
        <v>33</v>
      </c>
      <c r="C6" s="15">
        <v>9400203</v>
      </c>
      <c r="D6" s="16" t="s">
        <v>42</v>
      </c>
      <c r="E6" s="15" t="s">
        <v>43</v>
      </c>
      <c r="F6" s="21" t="str">
        <f>HYPERLINK("https://psearch.kitsapgov.com/webappa/index.html?parcelID=2460939&amp;Theme=Imagery","2460939")</f>
        <v>2460939</v>
      </c>
      <c r="G6" s="16" t="s">
        <v>44</v>
      </c>
      <c r="H6" s="17">
        <v>42024</v>
      </c>
      <c r="I6" s="18">
        <v>326950</v>
      </c>
      <c r="J6" s="19">
        <v>0.06</v>
      </c>
      <c r="K6" s="16" t="s">
        <v>45</v>
      </c>
      <c r="L6" s="16" t="s">
        <v>38</v>
      </c>
      <c r="M6" s="16" t="s">
        <v>46</v>
      </c>
      <c r="N6" s="16" t="s">
        <v>47</v>
      </c>
    </row>
    <row r="7" spans="1:15" ht="20.100000000000001" customHeight="1" x14ac:dyDescent="0.25">
      <c r="A7" s="15" t="s">
        <v>48</v>
      </c>
      <c r="B7" s="16" t="s">
        <v>49</v>
      </c>
      <c r="C7" s="15">
        <v>8303601</v>
      </c>
      <c r="D7" s="16" t="s">
        <v>50</v>
      </c>
      <c r="E7" s="15" t="s">
        <v>51</v>
      </c>
      <c r="F7" s="21" t="str">
        <f>HYPERLINK("https://psearch.kitsapgov.com/webappa/index.html?parcelID=2316958&amp;Theme=Imagery","2316958")</f>
        <v>2316958</v>
      </c>
      <c r="G7" s="16" t="s">
        <v>52</v>
      </c>
      <c r="H7" s="17">
        <v>42027</v>
      </c>
      <c r="I7" s="18">
        <v>600000</v>
      </c>
      <c r="J7" s="19">
        <v>0.41</v>
      </c>
      <c r="K7" s="16" t="s">
        <v>53</v>
      </c>
      <c r="L7" s="16" t="s">
        <v>38</v>
      </c>
      <c r="M7" s="16" t="s">
        <v>54</v>
      </c>
      <c r="N7" s="16" t="s">
        <v>55</v>
      </c>
    </row>
    <row r="8" spans="1:15" ht="20.100000000000001" customHeight="1" x14ac:dyDescent="0.25">
      <c r="A8" s="15" t="s">
        <v>56</v>
      </c>
      <c r="B8" s="16" t="s">
        <v>57</v>
      </c>
      <c r="C8" s="15">
        <v>8100504</v>
      </c>
      <c r="D8" s="16" t="s">
        <v>58</v>
      </c>
      <c r="E8" s="15" t="s">
        <v>59</v>
      </c>
      <c r="F8" s="21" t="str">
        <f>HYPERLINK("https://psearch.kitsapgov.com/webappa/index.html?parcelID=2507762&amp;Theme=Imagery","2507762")</f>
        <v>2507762</v>
      </c>
      <c r="G8" s="16" t="s">
        <v>60</v>
      </c>
      <c r="H8" s="17">
        <v>42033</v>
      </c>
      <c r="I8" s="18">
        <v>500</v>
      </c>
      <c r="J8" s="19">
        <v>0.04</v>
      </c>
      <c r="K8" s="16" t="s">
        <v>61</v>
      </c>
      <c r="L8" s="16" t="s">
        <v>62</v>
      </c>
      <c r="M8" s="16" t="s">
        <v>63</v>
      </c>
      <c r="N8" s="16" t="s">
        <v>64</v>
      </c>
    </row>
    <row r="9" spans="1:15" ht="20.100000000000001" customHeight="1" x14ac:dyDescent="0.25">
      <c r="A9" s="15" t="s">
        <v>65</v>
      </c>
      <c r="B9" s="16" t="s">
        <v>66</v>
      </c>
      <c r="C9" s="15">
        <v>8100502</v>
      </c>
      <c r="D9" s="16" t="s">
        <v>67</v>
      </c>
      <c r="E9" s="15" t="s">
        <v>68</v>
      </c>
      <c r="F9" s="21" t="str">
        <f>HYPERLINK("https://psearch.kitsapgov.com/webappa/index.html?parcelID=1155522&amp;Theme=Imagery","1155522")</f>
        <v>1155522</v>
      </c>
      <c r="G9" s="16" t="s">
        <v>69</v>
      </c>
      <c r="H9" s="17">
        <v>42032</v>
      </c>
      <c r="I9" s="18">
        <v>2850000</v>
      </c>
      <c r="J9" s="19">
        <v>4.0599999999999996</v>
      </c>
      <c r="K9" s="16" t="s">
        <v>70</v>
      </c>
      <c r="L9" s="16" t="s">
        <v>38</v>
      </c>
      <c r="M9" s="16" t="s">
        <v>71</v>
      </c>
      <c r="N9" s="16" t="s">
        <v>72</v>
      </c>
    </row>
    <row r="10" spans="1:15" ht="20.100000000000001" customHeight="1" x14ac:dyDescent="0.25">
      <c r="A10" s="15" t="s">
        <v>73</v>
      </c>
      <c r="B10" s="16" t="s">
        <v>74</v>
      </c>
      <c r="C10" s="15">
        <v>8402308</v>
      </c>
      <c r="D10" s="16" t="s">
        <v>75</v>
      </c>
      <c r="E10" s="15" t="s">
        <v>76</v>
      </c>
      <c r="F10" s="21" t="str">
        <f>HYPERLINK("https://psearch.kitsapgov.com/webappa/index.html?parcelID=1966498&amp;Theme=Imagery","1966498")</f>
        <v>1966498</v>
      </c>
      <c r="G10" s="16" t="s">
        <v>77</v>
      </c>
      <c r="H10" s="17">
        <v>42037</v>
      </c>
      <c r="I10" s="18">
        <v>1800000</v>
      </c>
      <c r="J10" s="19">
        <v>4.07</v>
      </c>
      <c r="K10" s="16" t="s">
        <v>78</v>
      </c>
      <c r="L10" s="16" t="s">
        <v>79</v>
      </c>
      <c r="M10" s="16" t="s">
        <v>80</v>
      </c>
      <c r="N10" s="16" t="s">
        <v>81</v>
      </c>
    </row>
    <row r="11" spans="1:15" ht="20.100000000000001" customHeight="1" x14ac:dyDescent="0.25">
      <c r="A11" s="15" t="s">
        <v>82</v>
      </c>
      <c r="B11" s="16" t="s">
        <v>66</v>
      </c>
      <c r="C11" s="15">
        <v>8100506</v>
      </c>
      <c r="D11" s="16" t="s">
        <v>25</v>
      </c>
      <c r="E11" s="15" t="s">
        <v>83</v>
      </c>
      <c r="F11" s="21" t="str">
        <f>HYPERLINK("https://psearch.kitsapgov.com/webappa/index.html?parcelID=1104447&amp;Theme=Imagery","1104447")</f>
        <v>1104447</v>
      </c>
      <c r="G11" s="16" t="s">
        <v>84</v>
      </c>
      <c r="H11" s="17">
        <v>42026</v>
      </c>
      <c r="I11" s="18">
        <v>175000</v>
      </c>
      <c r="J11" s="19">
        <v>0.38</v>
      </c>
      <c r="K11" s="16" t="s">
        <v>85</v>
      </c>
      <c r="L11" s="16" t="s">
        <v>38</v>
      </c>
      <c r="M11" s="16" t="s">
        <v>86</v>
      </c>
      <c r="N11" s="16" t="s">
        <v>87</v>
      </c>
    </row>
    <row r="12" spans="1:15" ht="20.100000000000001" customHeight="1" x14ac:dyDescent="0.25">
      <c r="A12" s="15" t="s">
        <v>88</v>
      </c>
      <c r="B12" s="16" t="s">
        <v>89</v>
      </c>
      <c r="C12" s="15">
        <v>8401508</v>
      </c>
      <c r="D12" s="16" t="s">
        <v>90</v>
      </c>
      <c r="E12" s="15" t="s">
        <v>91</v>
      </c>
      <c r="F12" s="21" t="str">
        <f>HYPERLINK("https://psearch.kitsapgov.com/webappa/index.html?parcelID=2379741&amp;Theme=Imagery","2379741")</f>
        <v>2379741</v>
      </c>
      <c r="G12" s="16" t="s">
        <v>92</v>
      </c>
      <c r="H12" s="17">
        <v>42041</v>
      </c>
      <c r="I12" s="18">
        <v>2825000</v>
      </c>
      <c r="J12" s="19">
        <v>1.99</v>
      </c>
      <c r="K12" s="16" t="s">
        <v>78</v>
      </c>
      <c r="L12" s="16" t="s">
        <v>38</v>
      </c>
      <c r="M12" s="16" t="s">
        <v>93</v>
      </c>
      <c r="N12" s="16" t="s">
        <v>94</v>
      </c>
    </row>
    <row r="13" spans="1:15" ht="20.100000000000001" customHeight="1" x14ac:dyDescent="0.25">
      <c r="A13" s="15" t="s">
        <v>95</v>
      </c>
      <c r="B13" s="16" t="s">
        <v>96</v>
      </c>
      <c r="C13" s="15">
        <v>8400203</v>
      </c>
      <c r="D13" s="16" t="s">
        <v>97</v>
      </c>
      <c r="E13" s="15" t="s">
        <v>98</v>
      </c>
      <c r="F13" s="21" t="str">
        <f>HYPERLINK("https://psearch.kitsapgov.com/webappa/index.html?parcelID=1334911&amp;Theme=Imagery","1334911")</f>
        <v>1334911</v>
      </c>
      <c r="G13" s="16" t="s">
        <v>99</v>
      </c>
      <c r="H13" s="17">
        <v>42044</v>
      </c>
      <c r="I13" s="18">
        <v>375000</v>
      </c>
      <c r="J13" s="19">
        <v>0.41</v>
      </c>
      <c r="K13" s="16" t="s">
        <v>100</v>
      </c>
      <c r="L13" s="16" t="s">
        <v>38</v>
      </c>
      <c r="M13" s="16" t="s">
        <v>101</v>
      </c>
      <c r="N13" s="16" t="s">
        <v>102</v>
      </c>
    </row>
    <row r="14" spans="1:15" ht="20.100000000000001" customHeight="1" x14ac:dyDescent="0.25">
      <c r="A14" s="15" t="s">
        <v>103</v>
      </c>
      <c r="B14" s="16" t="s">
        <v>104</v>
      </c>
      <c r="C14" s="15">
        <v>9100592</v>
      </c>
      <c r="D14" s="16" t="s">
        <v>105</v>
      </c>
      <c r="E14" s="15" t="s">
        <v>106</v>
      </c>
      <c r="F14" s="21" t="str">
        <f>HYPERLINK("https://psearch.kitsapgov.com/webappa/index.html?parcelID=1744267&amp;Theme=Imagery","1744267")</f>
        <v>1744267</v>
      </c>
      <c r="G14" s="16" t="s">
        <v>107</v>
      </c>
      <c r="H14" s="17">
        <v>42044</v>
      </c>
      <c r="I14" s="18">
        <v>197000</v>
      </c>
      <c r="J14" s="19">
        <v>0.18</v>
      </c>
      <c r="K14" s="16" t="s">
        <v>108</v>
      </c>
      <c r="L14" s="16" t="s">
        <v>38</v>
      </c>
      <c r="M14" s="16" t="s">
        <v>109</v>
      </c>
      <c r="N14" s="16" t="s">
        <v>110</v>
      </c>
    </row>
    <row r="15" spans="1:15" ht="20.100000000000001" customHeight="1" x14ac:dyDescent="0.25">
      <c r="A15" s="15" t="s">
        <v>111</v>
      </c>
      <c r="B15" s="16" t="s">
        <v>89</v>
      </c>
      <c r="C15" s="15">
        <v>8401508</v>
      </c>
      <c r="D15" s="16" t="s">
        <v>90</v>
      </c>
      <c r="E15" s="15" t="s">
        <v>112</v>
      </c>
      <c r="F15" s="21" t="str">
        <f>HYPERLINK("https://psearch.kitsapgov.com/webappa/index.html?parcelID=2288199&amp;Theme=Imagery","2288199")</f>
        <v>2288199</v>
      </c>
      <c r="G15" s="16" t="s">
        <v>113</v>
      </c>
      <c r="H15" s="17">
        <v>42038</v>
      </c>
      <c r="I15" s="18">
        <v>565000</v>
      </c>
      <c r="J15" s="19">
        <v>0.75</v>
      </c>
      <c r="K15" s="16" t="s">
        <v>78</v>
      </c>
      <c r="L15" s="16" t="s">
        <v>38</v>
      </c>
      <c r="M15" s="16" t="s">
        <v>114</v>
      </c>
      <c r="N15" s="16" t="s">
        <v>115</v>
      </c>
    </row>
    <row r="16" spans="1:15" ht="20.100000000000001" customHeight="1" x14ac:dyDescent="0.25">
      <c r="A16" s="15" t="s">
        <v>116</v>
      </c>
      <c r="B16" s="16" t="s">
        <v>33</v>
      </c>
      <c r="C16" s="15">
        <v>8100501</v>
      </c>
      <c r="D16" s="16" t="s">
        <v>117</v>
      </c>
      <c r="E16" s="15" t="s">
        <v>118</v>
      </c>
      <c r="F16" s="21" t="str">
        <f>HYPERLINK("https://psearch.kitsapgov.com/webappa/index.html?parcelID=1426683&amp;Theme=Imagery","1426683")</f>
        <v>1426683</v>
      </c>
      <c r="G16" s="16" t="s">
        <v>119</v>
      </c>
      <c r="H16" s="17">
        <v>42041</v>
      </c>
      <c r="I16" s="18">
        <v>255000</v>
      </c>
      <c r="J16" s="19">
        <v>7.0000000000000007E-2</v>
      </c>
      <c r="K16" s="16" t="s">
        <v>120</v>
      </c>
      <c r="L16" s="16" t="s">
        <v>38</v>
      </c>
      <c r="M16" s="16" t="s">
        <v>121</v>
      </c>
      <c r="N16" s="16" t="s">
        <v>122</v>
      </c>
    </row>
    <row r="17" spans="1:14" ht="20.100000000000001" customHeight="1" x14ac:dyDescent="0.25">
      <c r="A17" s="15" t="s">
        <v>123</v>
      </c>
      <c r="B17" s="16" t="s">
        <v>124</v>
      </c>
      <c r="C17" s="15">
        <v>9401120</v>
      </c>
      <c r="D17" s="16" t="s">
        <v>125</v>
      </c>
      <c r="E17" s="15" t="s">
        <v>126</v>
      </c>
      <c r="F17" s="21" t="str">
        <f>HYPERLINK("https://psearch.kitsapgov.com/webappa/index.html?parcelID=1117316&amp;Theme=Imagery","1117316")</f>
        <v>1117316</v>
      </c>
      <c r="G17" s="16" t="s">
        <v>127</v>
      </c>
      <c r="H17" s="17">
        <v>42045</v>
      </c>
      <c r="I17" s="18">
        <v>349311</v>
      </c>
      <c r="J17" s="19">
        <v>0.34</v>
      </c>
      <c r="K17" s="16" t="s">
        <v>128</v>
      </c>
      <c r="L17" s="16" t="s">
        <v>129</v>
      </c>
      <c r="M17" s="16" t="s">
        <v>130</v>
      </c>
      <c r="N17" s="16" t="s">
        <v>131</v>
      </c>
    </row>
    <row r="18" spans="1:14" ht="20.100000000000001" customHeight="1" x14ac:dyDescent="0.25">
      <c r="A18" s="15" t="s">
        <v>132</v>
      </c>
      <c r="B18" s="16" t="s">
        <v>66</v>
      </c>
      <c r="C18" s="15">
        <v>8400302</v>
      </c>
      <c r="D18" s="16" t="s">
        <v>133</v>
      </c>
      <c r="E18" s="15" t="s">
        <v>134</v>
      </c>
      <c r="F18" s="21" t="str">
        <f>HYPERLINK("https://psearch.kitsapgov.com/webappa/index.html?parcelID=2585610&amp;Theme=Imagery","2585610")</f>
        <v>2585610</v>
      </c>
      <c r="G18" s="16" t="s">
        <v>135</v>
      </c>
      <c r="H18" s="17">
        <v>42044</v>
      </c>
      <c r="I18" s="18">
        <v>421000</v>
      </c>
      <c r="J18" s="19">
        <v>0.94</v>
      </c>
      <c r="K18" s="16" t="s">
        <v>136</v>
      </c>
      <c r="L18" s="16" t="s">
        <v>20</v>
      </c>
      <c r="M18" s="16" t="s">
        <v>137</v>
      </c>
      <c r="N18" s="16" t="s">
        <v>138</v>
      </c>
    </row>
    <row r="19" spans="1:14" ht="20.100000000000001" customHeight="1" x14ac:dyDescent="0.25">
      <c r="A19" s="15" t="s">
        <v>139</v>
      </c>
      <c r="B19" s="16" t="s">
        <v>57</v>
      </c>
      <c r="C19" s="15">
        <v>8400302</v>
      </c>
      <c r="D19" s="16" t="s">
        <v>133</v>
      </c>
      <c r="E19" s="15" t="s">
        <v>140</v>
      </c>
      <c r="F19" s="21" t="str">
        <f>HYPERLINK("https://psearch.kitsapgov.com/webappa/index.html?parcelID=2585636&amp;Theme=Imagery","2585636")</f>
        <v>2585636</v>
      </c>
      <c r="G19" s="16" t="s">
        <v>141</v>
      </c>
      <c r="H19" s="17">
        <v>42044</v>
      </c>
      <c r="I19" s="18">
        <v>160000</v>
      </c>
      <c r="J19" s="19">
        <v>1.1100000000000001</v>
      </c>
      <c r="K19" s="16" t="s">
        <v>136</v>
      </c>
      <c r="L19" s="16" t="s">
        <v>38</v>
      </c>
      <c r="M19" s="16" t="s">
        <v>137</v>
      </c>
      <c r="N19" s="16" t="s">
        <v>138</v>
      </c>
    </row>
    <row r="20" spans="1:14" ht="20.100000000000001" customHeight="1" x14ac:dyDescent="0.25">
      <c r="A20" s="15" t="s">
        <v>142</v>
      </c>
      <c r="B20" s="16" t="s">
        <v>143</v>
      </c>
      <c r="C20" s="15">
        <v>8401104</v>
      </c>
      <c r="D20" s="16" t="s">
        <v>144</v>
      </c>
      <c r="E20" s="15" t="s">
        <v>145</v>
      </c>
      <c r="F20" s="21" t="str">
        <f>HYPERLINK("https://psearch.kitsapgov.com/webappa/index.html?parcelID=1124957&amp;Theme=Imagery","1124957")</f>
        <v>1124957</v>
      </c>
      <c r="G20" s="16" t="s">
        <v>146</v>
      </c>
      <c r="H20" s="17">
        <v>42054</v>
      </c>
      <c r="I20" s="18">
        <v>75000</v>
      </c>
      <c r="J20" s="19">
        <v>0.73</v>
      </c>
      <c r="K20" s="16" t="s">
        <v>147</v>
      </c>
      <c r="L20" s="16" t="s">
        <v>38</v>
      </c>
      <c r="M20" s="16" t="s">
        <v>148</v>
      </c>
      <c r="N20" s="16" t="s">
        <v>149</v>
      </c>
    </row>
    <row r="21" spans="1:14" ht="20.100000000000001" customHeight="1" x14ac:dyDescent="0.25">
      <c r="A21" s="15" t="s">
        <v>150</v>
      </c>
      <c r="B21" s="16" t="s">
        <v>66</v>
      </c>
      <c r="C21" s="15">
        <v>8402307</v>
      </c>
      <c r="D21" s="16" t="s">
        <v>151</v>
      </c>
      <c r="E21" s="15" t="s">
        <v>152</v>
      </c>
      <c r="F21" s="21" t="str">
        <f>HYPERLINK("https://psearch.kitsapgov.com/webappa/index.html?parcelID=1176072&amp;Theme=Imagery","1176072")</f>
        <v>1176072</v>
      </c>
      <c r="G21" s="16" t="s">
        <v>153</v>
      </c>
      <c r="H21" s="17">
        <v>42053</v>
      </c>
      <c r="I21" s="18">
        <v>145000</v>
      </c>
      <c r="J21" s="19">
        <v>2.92</v>
      </c>
      <c r="K21" s="16" t="s">
        <v>154</v>
      </c>
      <c r="L21" s="16" t="s">
        <v>79</v>
      </c>
      <c r="M21" s="16" t="s">
        <v>155</v>
      </c>
      <c r="N21" s="16" t="s">
        <v>156</v>
      </c>
    </row>
    <row r="22" spans="1:14" ht="20.100000000000001" customHeight="1" x14ac:dyDescent="0.25">
      <c r="A22" s="15" t="s">
        <v>157</v>
      </c>
      <c r="B22" s="16" t="s">
        <v>89</v>
      </c>
      <c r="C22" s="15">
        <v>8400202</v>
      </c>
      <c r="D22" s="16" t="s">
        <v>158</v>
      </c>
      <c r="E22" s="15" t="s">
        <v>159</v>
      </c>
      <c r="F22" s="21" t="str">
        <f>HYPERLINK("https://psearch.kitsapgov.com/webappa/index.html?parcelID=2583375&amp;Theme=Imagery","2583375")</f>
        <v>2583375</v>
      </c>
      <c r="G22" s="16" t="s">
        <v>160</v>
      </c>
      <c r="H22" s="17">
        <v>42034</v>
      </c>
      <c r="I22" s="18">
        <v>7601400</v>
      </c>
      <c r="J22" s="19">
        <v>1.28</v>
      </c>
      <c r="K22" s="16" t="s">
        <v>100</v>
      </c>
      <c r="L22" s="16" t="s">
        <v>20</v>
      </c>
      <c r="M22" s="16" t="s">
        <v>161</v>
      </c>
      <c r="N22" s="16" t="s">
        <v>162</v>
      </c>
    </row>
    <row r="23" spans="1:14" ht="20.100000000000001" customHeight="1" x14ac:dyDescent="0.25">
      <c r="A23" s="15" t="s">
        <v>163</v>
      </c>
      <c r="B23" s="16" t="s">
        <v>164</v>
      </c>
      <c r="C23" s="15">
        <v>8402403</v>
      </c>
      <c r="D23" s="16" t="s">
        <v>165</v>
      </c>
      <c r="E23" s="15" t="s">
        <v>166</v>
      </c>
      <c r="F23" s="21" t="str">
        <f>HYPERLINK("https://psearch.kitsapgov.com/webappa/index.html?parcelID=2524544&amp;Theme=Imagery","2524544")</f>
        <v>2524544</v>
      </c>
      <c r="G23" s="16" t="s">
        <v>167</v>
      </c>
      <c r="H23" s="17">
        <v>42060</v>
      </c>
      <c r="I23" s="18">
        <v>433000</v>
      </c>
      <c r="J23" s="19">
        <v>0</v>
      </c>
      <c r="L23" s="16" t="s">
        <v>168</v>
      </c>
      <c r="M23" s="16" t="s">
        <v>169</v>
      </c>
      <c r="N23" s="16" t="s">
        <v>47</v>
      </c>
    </row>
    <row r="24" spans="1:14" ht="20.100000000000001" customHeight="1" x14ac:dyDescent="0.25">
      <c r="A24" s="15" t="s">
        <v>170</v>
      </c>
      <c r="B24" s="16" t="s">
        <v>66</v>
      </c>
      <c r="C24" s="15">
        <v>8100502</v>
      </c>
      <c r="D24" s="16" t="s">
        <v>67</v>
      </c>
      <c r="E24" s="15" t="s">
        <v>171</v>
      </c>
      <c r="F24" s="21" t="str">
        <f>HYPERLINK("https://psearch.kitsapgov.com/webappa/index.html?parcelID=2158970&amp;Theme=Imagery","2158970")</f>
        <v>2158970</v>
      </c>
      <c r="G24" s="16" t="s">
        <v>172</v>
      </c>
      <c r="H24" s="17">
        <v>42060</v>
      </c>
      <c r="I24" s="18">
        <v>914390</v>
      </c>
      <c r="J24" s="19">
        <v>1.1299999999999999</v>
      </c>
      <c r="K24" s="16" t="s">
        <v>173</v>
      </c>
      <c r="L24" s="16" t="s">
        <v>174</v>
      </c>
      <c r="M24" s="16" t="s">
        <v>175</v>
      </c>
      <c r="N24" s="16" t="s">
        <v>176</v>
      </c>
    </row>
    <row r="25" spans="1:14" ht="20.100000000000001" customHeight="1" x14ac:dyDescent="0.25">
      <c r="A25" s="15" t="s">
        <v>177</v>
      </c>
      <c r="B25" s="16" t="s">
        <v>66</v>
      </c>
      <c r="C25" s="15">
        <v>8400204</v>
      </c>
      <c r="D25" s="16" t="s">
        <v>178</v>
      </c>
      <c r="E25" s="15" t="s">
        <v>179</v>
      </c>
      <c r="F25" s="21" t="str">
        <f>HYPERLINK("https://psearch.kitsapgov.com/webappa/index.html?parcelID=2587764&amp;Theme=Imagery","2587764")</f>
        <v>2587764</v>
      </c>
      <c r="G25" s="16" t="s">
        <v>180</v>
      </c>
      <c r="H25" s="17">
        <v>42058</v>
      </c>
      <c r="I25" s="18">
        <v>1691000</v>
      </c>
      <c r="J25" s="19">
        <v>5.47</v>
      </c>
      <c r="K25" s="16" t="s">
        <v>181</v>
      </c>
      <c r="L25" s="16" t="s">
        <v>38</v>
      </c>
      <c r="M25" s="16" t="s">
        <v>182</v>
      </c>
      <c r="N25" s="16" t="s">
        <v>183</v>
      </c>
    </row>
    <row r="26" spans="1:14" ht="20.100000000000001" customHeight="1" x14ac:dyDescent="0.25">
      <c r="A26" s="15" t="s">
        <v>184</v>
      </c>
      <c r="B26" s="16" t="s">
        <v>89</v>
      </c>
      <c r="C26" s="15">
        <v>8401101</v>
      </c>
      <c r="D26" s="16" t="s">
        <v>185</v>
      </c>
      <c r="E26" s="15" t="s">
        <v>186</v>
      </c>
      <c r="F26" s="21" t="str">
        <f>HYPERLINK("https://psearch.kitsapgov.com/webappa/index.html?parcelID=2379022&amp;Theme=Imagery","2379022")</f>
        <v>2379022</v>
      </c>
      <c r="G26" s="16" t="s">
        <v>187</v>
      </c>
      <c r="H26" s="17">
        <v>42065</v>
      </c>
      <c r="I26" s="18">
        <v>6632000</v>
      </c>
      <c r="J26" s="19">
        <v>1.46</v>
      </c>
      <c r="K26" s="16" t="s">
        <v>188</v>
      </c>
      <c r="L26" s="16" t="s">
        <v>38</v>
      </c>
      <c r="M26" s="16" t="s">
        <v>189</v>
      </c>
      <c r="N26" s="16" t="s">
        <v>190</v>
      </c>
    </row>
    <row r="27" spans="1:14" ht="20.100000000000001" customHeight="1" x14ac:dyDescent="0.25">
      <c r="A27" s="15" t="s">
        <v>191</v>
      </c>
      <c r="B27" s="16" t="s">
        <v>49</v>
      </c>
      <c r="C27" s="15">
        <v>9401120</v>
      </c>
      <c r="D27" s="16" t="s">
        <v>125</v>
      </c>
      <c r="E27" s="15" t="s">
        <v>192</v>
      </c>
      <c r="F27" s="21" t="str">
        <f>HYPERLINK("https://psearch.kitsapgov.com/webappa/index.html?parcelID=1116284&amp;Theme=Imagery","1116284")</f>
        <v>1116284</v>
      </c>
      <c r="G27" s="16" t="s">
        <v>193</v>
      </c>
      <c r="H27" s="17">
        <v>42062</v>
      </c>
      <c r="I27" s="18">
        <v>122000</v>
      </c>
      <c r="J27" s="19">
        <v>0.33</v>
      </c>
      <c r="K27" s="16" t="s">
        <v>194</v>
      </c>
      <c r="L27" s="16" t="s">
        <v>20</v>
      </c>
      <c r="M27" s="16" t="s">
        <v>195</v>
      </c>
      <c r="N27" s="16" t="s">
        <v>196</v>
      </c>
    </row>
    <row r="28" spans="1:14" ht="20.100000000000001" customHeight="1" x14ac:dyDescent="0.25">
      <c r="A28" s="15" t="s">
        <v>197</v>
      </c>
      <c r="B28" s="16" t="s">
        <v>57</v>
      </c>
      <c r="C28" s="15">
        <v>8400302</v>
      </c>
      <c r="D28" s="16" t="s">
        <v>133</v>
      </c>
      <c r="E28" s="15" t="s">
        <v>198</v>
      </c>
      <c r="F28" s="21" t="str">
        <f>HYPERLINK("https://psearch.kitsapgov.com/webappa/index.html?parcelID=2558716&amp;Theme=Imagery","2558716")</f>
        <v>2558716</v>
      </c>
      <c r="G28" s="16" t="s">
        <v>199</v>
      </c>
      <c r="H28" s="17">
        <v>42066</v>
      </c>
      <c r="I28" s="18">
        <v>100000</v>
      </c>
      <c r="J28" s="19">
        <v>0.46</v>
      </c>
      <c r="K28" s="16" t="s">
        <v>136</v>
      </c>
      <c r="L28" s="16" t="s">
        <v>38</v>
      </c>
      <c r="M28" s="16" t="s">
        <v>200</v>
      </c>
      <c r="N28" s="16" t="s">
        <v>201</v>
      </c>
    </row>
    <row r="29" spans="1:14" ht="20.100000000000001" customHeight="1" x14ac:dyDescent="0.25">
      <c r="A29" s="15" t="s">
        <v>202</v>
      </c>
      <c r="B29" s="16" t="s">
        <v>57</v>
      </c>
      <c r="C29" s="15">
        <v>8303601</v>
      </c>
      <c r="D29" s="16" t="s">
        <v>50</v>
      </c>
      <c r="E29" s="15" t="s">
        <v>203</v>
      </c>
      <c r="F29" s="21" t="str">
        <f>HYPERLINK("https://psearch.kitsapgov.com/webappa/index.html?parcelID=2432672&amp;Theme=Imagery","2432672")</f>
        <v>2432672</v>
      </c>
      <c r="G29" s="16" t="s">
        <v>204</v>
      </c>
      <c r="H29" s="17">
        <v>42066</v>
      </c>
      <c r="I29" s="18">
        <v>360000</v>
      </c>
      <c r="J29" s="19">
        <v>0.23</v>
      </c>
      <c r="K29" s="16" t="s">
        <v>205</v>
      </c>
      <c r="L29" s="16" t="s">
        <v>38</v>
      </c>
      <c r="M29" s="16" t="s">
        <v>206</v>
      </c>
      <c r="N29" s="16" t="s">
        <v>207</v>
      </c>
    </row>
    <row r="30" spans="1:14" ht="20.100000000000001" customHeight="1" x14ac:dyDescent="0.25">
      <c r="A30" s="15" t="s">
        <v>208</v>
      </c>
      <c r="B30" s="16" t="s">
        <v>33</v>
      </c>
      <c r="C30" s="15">
        <v>8100501</v>
      </c>
      <c r="D30" s="16" t="s">
        <v>117</v>
      </c>
      <c r="E30" s="15" t="s">
        <v>209</v>
      </c>
      <c r="F30" s="21" t="str">
        <f>HYPERLINK("https://psearch.kitsapgov.com/webappa/index.html?parcelID=2583953&amp;Theme=Imagery","2583953")</f>
        <v>2583953</v>
      </c>
      <c r="G30" s="16" t="s">
        <v>210</v>
      </c>
      <c r="H30" s="17">
        <v>42068</v>
      </c>
      <c r="I30" s="18">
        <v>645800</v>
      </c>
      <c r="J30" s="19">
        <v>0.5</v>
      </c>
      <c r="K30" s="16" t="s">
        <v>120</v>
      </c>
      <c r="L30" s="16" t="s">
        <v>174</v>
      </c>
      <c r="M30" s="16" t="s">
        <v>211</v>
      </c>
      <c r="N30" s="16" t="s">
        <v>212</v>
      </c>
    </row>
    <row r="31" spans="1:14" ht="20.100000000000001" customHeight="1" x14ac:dyDescent="0.25">
      <c r="A31" s="15" t="s">
        <v>213</v>
      </c>
      <c r="B31" s="16" t="s">
        <v>214</v>
      </c>
      <c r="C31" s="15">
        <v>9100541</v>
      </c>
      <c r="D31" s="16" t="s">
        <v>215</v>
      </c>
      <c r="E31" s="15" t="s">
        <v>216</v>
      </c>
      <c r="F31" s="21" t="str">
        <f>HYPERLINK("https://psearch.kitsapgov.com/webappa/index.html?parcelID=1464841&amp;Theme=Imagery","1464841")</f>
        <v>1464841</v>
      </c>
      <c r="G31" s="16" t="s">
        <v>217</v>
      </c>
      <c r="H31" s="17">
        <v>42069</v>
      </c>
      <c r="I31" s="18">
        <v>175000</v>
      </c>
      <c r="J31" s="19">
        <v>0.09</v>
      </c>
      <c r="K31" s="16" t="s">
        <v>218</v>
      </c>
      <c r="L31" s="16" t="s">
        <v>38</v>
      </c>
      <c r="M31" s="16" t="s">
        <v>219</v>
      </c>
      <c r="N31" s="16" t="s">
        <v>220</v>
      </c>
    </row>
    <row r="32" spans="1:14" ht="20.100000000000001" customHeight="1" x14ac:dyDescent="0.25">
      <c r="A32" s="15" t="s">
        <v>221</v>
      </c>
      <c r="B32" s="16" t="s">
        <v>89</v>
      </c>
      <c r="C32" s="15">
        <v>8401101</v>
      </c>
      <c r="D32" s="16" t="s">
        <v>185</v>
      </c>
      <c r="E32" s="15" t="s">
        <v>222</v>
      </c>
      <c r="F32" s="21" t="str">
        <f>HYPERLINK("https://psearch.kitsapgov.com/webappa/index.html?parcelID=2351823&amp;Theme=Imagery","2351823")</f>
        <v>2351823</v>
      </c>
      <c r="G32" s="16" t="s">
        <v>223</v>
      </c>
      <c r="H32" s="17">
        <v>42069</v>
      </c>
      <c r="I32" s="18">
        <v>9229396</v>
      </c>
      <c r="J32" s="19">
        <v>5.43</v>
      </c>
      <c r="K32" s="16" t="s">
        <v>188</v>
      </c>
      <c r="L32" s="16" t="s">
        <v>38</v>
      </c>
      <c r="M32" s="16" t="s">
        <v>224</v>
      </c>
      <c r="N32" s="16" t="s">
        <v>225</v>
      </c>
    </row>
    <row r="33" spans="1:14" ht="20.100000000000001" customHeight="1" x14ac:dyDescent="0.25">
      <c r="A33" s="15" t="s">
        <v>226</v>
      </c>
      <c r="B33" s="16" t="s">
        <v>66</v>
      </c>
      <c r="C33" s="15">
        <v>8402391</v>
      </c>
      <c r="D33" s="16" t="s">
        <v>227</v>
      </c>
      <c r="E33" s="15" t="s">
        <v>228</v>
      </c>
      <c r="F33" s="21" t="str">
        <f>HYPERLINK("https://psearch.kitsapgov.com/webappa/index.html?parcelID=1919349&amp;Theme=Imagery","1919349")</f>
        <v>1919349</v>
      </c>
      <c r="G33" s="16" t="s">
        <v>229</v>
      </c>
      <c r="H33" s="17">
        <v>42068</v>
      </c>
      <c r="I33" s="18">
        <v>250000</v>
      </c>
      <c r="J33" s="19">
        <v>2.37</v>
      </c>
      <c r="K33" s="16" t="s">
        <v>61</v>
      </c>
      <c r="L33" s="16" t="s">
        <v>38</v>
      </c>
      <c r="M33" s="16" t="s">
        <v>230</v>
      </c>
      <c r="N33" s="16" t="s">
        <v>231</v>
      </c>
    </row>
    <row r="34" spans="1:14" ht="20.100000000000001" customHeight="1" x14ac:dyDescent="0.25">
      <c r="A34" s="15" t="s">
        <v>232</v>
      </c>
      <c r="B34" s="16" t="s">
        <v>124</v>
      </c>
      <c r="C34" s="15">
        <v>9100541</v>
      </c>
      <c r="D34" s="16" t="s">
        <v>215</v>
      </c>
      <c r="E34" s="15" t="s">
        <v>233</v>
      </c>
      <c r="F34" s="21" t="str">
        <f>HYPERLINK("https://psearch.kitsapgov.com/webappa/index.html?parcelID=2535110&amp;Theme=Imagery","2535110")</f>
        <v>2535110</v>
      </c>
      <c r="G34" s="16" t="s">
        <v>234</v>
      </c>
      <c r="H34" s="17">
        <v>42076</v>
      </c>
      <c r="I34" s="18">
        <v>214250</v>
      </c>
      <c r="J34" s="19">
        <v>0.25</v>
      </c>
      <c r="K34" s="16" t="s">
        <v>235</v>
      </c>
      <c r="L34" s="16" t="s">
        <v>38</v>
      </c>
      <c r="M34" s="16" t="s">
        <v>236</v>
      </c>
      <c r="N34" s="16" t="s">
        <v>237</v>
      </c>
    </row>
    <row r="35" spans="1:14" ht="20.100000000000001" customHeight="1" x14ac:dyDescent="0.25">
      <c r="A35" s="15" t="s">
        <v>238</v>
      </c>
      <c r="B35" s="16" t="s">
        <v>239</v>
      </c>
      <c r="C35" s="15">
        <v>8100506</v>
      </c>
      <c r="D35" s="16" t="s">
        <v>25</v>
      </c>
      <c r="E35" s="15" t="s">
        <v>240</v>
      </c>
      <c r="F35" s="21" t="str">
        <f>HYPERLINK("https://psearch.kitsapgov.com/webappa/index.html?parcelID=1104439&amp;Theme=Imagery","1104439")</f>
        <v>1104439</v>
      </c>
      <c r="G35" s="16" t="s">
        <v>241</v>
      </c>
      <c r="H35" s="17">
        <v>42083</v>
      </c>
      <c r="I35" s="18">
        <v>310000</v>
      </c>
      <c r="J35" s="19">
        <v>0.28000000000000003</v>
      </c>
      <c r="K35" s="16" t="s">
        <v>85</v>
      </c>
      <c r="L35" s="16" t="s">
        <v>38</v>
      </c>
      <c r="M35" s="16" t="s">
        <v>86</v>
      </c>
      <c r="N35" s="16" t="s">
        <v>242</v>
      </c>
    </row>
    <row r="36" spans="1:14" ht="20.100000000000001" customHeight="1" x14ac:dyDescent="0.25">
      <c r="A36" s="15" t="s">
        <v>243</v>
      </c>
      <c r="B36" s="16" t="s">
        <v>89</v>
      </c>
      <c r="C36" s="15">
        <v>8100506</v>
      </c>
      <c r="D36" s="16" t="s">
        <v>25</v>
      </c>
      <c r="E36" s="15" t="s">
        <v>244</v>
      </c>
      <c r="F36" s="21" t="str">
        <f>HYPERLINK("https://psearch.kitsapgov.com/webappa/index.html?parcelID=1131671&amp;Theme=Imagery","1131671")</f>
        <v>1131671</v>
      </c>
      <c r="G36" s="16" t="s">
        <v>245</v>
      </c>
      <c r="H36" s="17">
        <v>42086</v>
      </c>
      <c r="I36" s="18">
        <v>54611</v>
      </c>
      <c r="J36" s="19">
        <v>0.34</v>
      </c>
      <c r="K36" s="16" t="s">
        <v>85</v>
      </c>
      <c r="L36" s="16" t="s">
        <v>246</v>
      </c>
      <c r="M36" s="16" t="s">
        <v>247</v>
      </c>
      <c r="N36" s="16" t="s">
        <v>248</v>
      </c>
    </row>
    <row r="37" spans="1:14" ht="20.100000000000001" customHeight="1" x14ac:dyDescent="0.25">
      <c r="A37" s="15" t="s">
        <v>249</v>
      </c>
      <c r="B37" s="16" t="s">
        <v>89</v>
      </c>
      <c r="C37" s="15">
        <v>8100506</v>
      </c>
      <c r="D37" s="16" t="s">
        <v>25</v>
      </c>
      <c r="E37" s="15" t="s">
        <v>250</v>
      </c>
      <c r="F37" s="21" t="str">
        <f>HYPERLINK("https://psearch.kitsapgov.com/webappa/index.html?parcelID=1131663&amp;Theme=Imagery","1131663")</f>
        <v>1131663</v>
      </c>
      <c r="G37" s="16" t="s">
        <v>251</v>
      </c>
      <c r="H37" s="17">
        <v>42086</v>
      </c>
      <c r="I37" s="18">
        <v>49853</v>
      </c>
      <c r="J37" s="19">
        <v>0.11</v>
      </c>
      <c r="K37" s="16" t="s">
        <v>85</v>
      </c>
      <c r="L37" s="16" t="s">
        <v>246</v>
      </c>
      <c r="M37" s="16" t="s">
        <v>247</v>
      </c>
      <c r="N37" s="16" t="s">
        <v>248</v>
      </c>
    </row>
    <row r="38" spans="1:14" ht="20.100000000000001" customHeight="1" x14ac:dyDescent="0.25">
      <c r="A38" s="15" t="s">
        <v>252</v>
      </c>
      <c r="B38" s="16" t="s">
        <v>33</v>
      </c>
      <c r="C38" s="15">
        <v>8100501</v>
      </c>
      <c r="D38" s="16" t="s">
        <v>117</v>
      </c>
      <c r="E38" s="15" t="s">
        <v>253</v>
      </c>
      <c r="F38" s="21" t="str">
        <f>HYPERLINK("https://psearch.kitsapgov.com/webappa/index.html?parcelID=1427798&amp;Theme=Imagery","1427798")</f>
        <v>1427798</v>
      </c>
      <c r="G38" s="16" t="s">
        <v>254</v>
      </c>
      <c r="H38" s="17">
        <v>42093</v>
      </c>
      <c r="I38" s="18">
        <v>67300</v>
      </c>
      <c r="J38" s="19">
        <v>7.0000000000000007E-2</v>
      </c>
      <c r="K38" s="16" t="s">
        <v>120</v>
      </c>
      <c r="L38" s="16" t="s">
        <v>255</v>
      </c>
      <c r="M38" s="16" t="s">
        <v>256</v>
      </c>
      <c r="N38" s="16" t="s">
        <v>257</v>
      </c>
    </row>
    <row r="39" spans="1:14" ht="20.100000000000001" customHeight="1" x14ac:dyDescent="0.25">
      <c r="A39" s="15" t="s">
        <v>258</v>
      </c>
      <c r="B39" s="16" t="s">
        <v>74</v>
      </c>
      <c r="C39" s="15">
        <v>8402305</v>
      </c>
      <c r="D39" s="16" t="s">
        <v>259</v>
      </c>
      <c r="E39" s="15" t="s">
        <v>260</v>
      </c>
      <c r="F39" s="21" t="str">
        <f>HYPERLINK("https://psearch.kitsapgov.com/webappa/index.html?parcelID=1503317&amp;Theme=Imagery","1503317")</f>
        <v>1503317</v>
      </c>
      <c r="G39" s="16" t="s">
        <v>261</v>
      </c>
      <c r="H39" s="17">
        <v>42093</v>
      </c>
      <c r="I39" s="18">
        <v>634000</v>
      </c>
      <c r="J39" s="19">
        <v>0.37</v>
      </c>
      <c r="K39" s="16" t="s">
        <v>154</v>
      </c>
      <c r="L39" s="16" t="s">
        <v>79</v>
      </c>
      <c r="M39" s="16" t="s">
        <v>262</v>
      </c>
      <c r="N39" s="16" t="s">
        <v>263</v>
      </c>
    </row>
    <row r="40" spans="1:14" ht="20.100000000000001" customHeight="1" x14ac:dyDescent="0.25">
      <c r="A40" s="15" t="s">
        <v>264</v>
      </c>
      <c r="B40" s="16" t="s">
        <v>265</v>
      </c>
      <c r="C40" s="15">
        <v>8100502</v>
      </c>
      <c r="D40" s="16" t="s">
        <v>67</v>
      </c>
      <c r="E40" s="15" t="s">
        <v>266</v>
      </c>
      <c r="F40" s="21" t="str">
        <f>HYPERLINK("https://psearch.kitsapgov.com/webappa/index.html?parcelID=2416022&amp;Theme=Imagery","2416022")</f>
        <v>2416022</v>
      </c>
      <c r="G40" s="16" t="s">
        <v>267</v>
      </c>
      <c r="H40" s="17">
        <v>42082</v>
      </c>
      <c r="I40" s="18">
        <v>1200000</v>
      </c>
      <c r="J40" s="19">
        <v>0.66</v>
      </c>
      <c r="K40" s="16" t="s">
        <v>85</v>
      </c>
      <c r="L40" s="16" t="s">
        <v>20</v>
      </c>
      <c r="M40" s="16" t="s">
        <v>268</v>
      </c>
      <c r="N40" s="16" t="s">
        <v>269</v>
      </c>
    </row>
    <row r="41" spans="1:14" ht="20.100000000000001" customHeight="1" x14ac:dyDescent="0.25">
      <c r="A41" s="15" t="s">
        <v>270</v>
      </c>
      <c r="B41" s="16" t="s">
        <v>124</v>
      </c>
      <c r="C41" s="15">
        <v>9402390</v>
      </c>
      <c r="D41" s="16" t="s">
        <v>271</v>
      </c>
      <c r="E41" s="15" t="s">
        <v>272</v>
      </c>
      <c r="F41" s="21" t="str">
        <f>HYPERLINK("https://psearch.kitsapgov.com/webappa/index.html?parcelID=1173194&amp;Theme=Imagery","1173194")</f>
        <v>1173194</v>
      </c>
      <c r="G41" s="16" t="s">
        <v>273</v>
      </c>
      <c r="H41" s="17">
        <v>42095</v>
      </c>
      <c r="I41" s="18">
        <v>226000</v>
      </c>
      <c r="J41" s="19">
        <v>0.31</v>
      </c>
      <c r="K41" s="16" t="s">
        <v>274</v>
      </c>
      <c r="L41" s="16" t="s">
        <v>129</v>
      </c>
      <c r="M41" s="16" t="s">
        <v>130</v>
      </c>
      <c r="N41" s="16" t="s">
        <v>275</v>
      </c>
    </row>
    <row r="42" spans="1:14" ht="20.100000000000001" customHeight="1" x14ac:dyDescent="0.25">
      <c r="A42" s="15" t="s">
        <v>276</v>
      </c>
      <c r="B42" s="16" t="s">
        <v>57</v>
      </c>
      <c r="C42" s="15">
        <v>8400202</v>
      </c>
      <c r="D42" s="16" t="s">
        <v>158</v>
      </c>
      <c r="E42" s="15" t="s">
        <v>277</v>
      </c>
      <c r="F42" s="21" t="str">
        <f>HYPERLINK("https://psearch.kitsapgov.com/webappa/index.html?parcelID=2395325&amp;Theme=Imagery","2395325")</f>
        <v>2395325</v>
      </c>
      <c r="G42" s="16" t="s">
        <v>278</v>
      </c>
      <c r="H42" s="17">
        <v>42100</v>
      </c>
      <c r="I42" s="18">
        <v>150000</v>
      </c>
      <c r="J42" s="19">
        <v>1.1000000000000001</v>
      </c>
      <c r="K42" s="16" t="s">
        <v>279</v>
      </c>
      <c r="L42" s="16" t="s">
        <v>129</v>
      </c>
      <c r="M42" s="16" t="s">
        <v>280</v>
      </c>
      <c r="N42" s="16" t="s">
        <v>281</v>
      </c>
    </row>
    <row r="43" spans="1:14" ht="20.100000000000001" customHeight="1" x14ac:dyDescent="0.25">
      <c r="A43" s="15" t="s">
        <v>282</v>
      </c>
      <c r="B43" s="16" t="s">
        <v>57</v>
      </c>
      <c r="C43" s="15">
        <v>8400202</v>
      </c>
      <c r="D43" s="16" t="s">
        <v>158</v>
      </c>
      <c r="E43" s="15" t="s">
        <v>283</v>
      </c>
      <c r="F43" s="21" t="str">
        <f>HYPERLINK("https://psearch.kitsapgov.com/webappa/index.html?parcelID=2395317&amp;Theme=Imagery","2395317")</f>
        <v>2395317</v>
      </c>
      <c r="G43" s="16" t="s">
        <v>284</v>
      </c>
      <c r="H43" s="17">
        <v>42100</v>
      </c>
      <c r="I43" s="18">
        <v>145368</v>
      </c>
      <c r="J43" s="19">
        <v>1.25</v>
      </c>
      <c r="K43" s="16" t="s">
        <v>279</v>
      </c>
      <c r="L43" s="16" t="s">
        <v>129</v>
      </c>
      <c r="M43" s="16" t="s">
        <v>280</v>
      </c>
      <c r="N43" s="16" t="s">
        <v>281</v>
      </c>
    </row>
    <row r="44" spans="1:14" ht="20.100000000000001" customHeight="1" x14ac:dyDescent="0.25">
      <c r="A44" s="15" t="s">
        <v>285</v>
      </c>
      <c r="B44" s="16" t="s">
        <v>286</v>
      </c>
      <c r="C44" s="15">
        <v>8400206</v>
      </c>
      <c r="D44" s="16" t="s">
        <v>287</v>
      </c>
      <c r="E44" s="15" t="s">
        <v>288</v>
      </c>
      <c r="F44" s="21" t="str">
        <f>HYPERLINK("https://psearch.kitsapgov.com/webappa/index.html?parcelID=2071561&amp;Theme=Imagery","2071561")</f>
        <v>2071561</v>
      </c>
      <c r="G44" s="16" t="s">
        <v>289</v>
      </c>
      <c r="H44" s="17">
        <v>42100</v>
      </c>
      <c r="I44" s="18">
        <v>37500</v>
      </c>
      <c r="J44" s="19">
        <v>0</v>
      </c>
      <c r="L44" s="16" t="s">
        <v>290</v>
      </c>
      <c r="M44" s="16" t="s">
        <v>291</v>
      </c>
      <c r="N44" s="16" t="s">
        <v>292</v>
      </c>
    </row>
    <row r="45" spans="1:14" ht="20.100000000000001" customHeight="1" x14ac:dyDescent="0.25">
      <c r="A45" s="15" t="s">
        <v>293</v>
      </c>
      <c r="B45" s="16" t="s">
        <v>124</v>
      </c>
      <c r="C45" s="15">
        <v>9100541</v>
      </c>
      <c r="D45" s="16" t="s">
        <v>215</v>
      </c>
      <c r="E45" s="15" t="s">
        <v>294</v>
      </c>
      <c r="F45" s="21" t="str">
        <f>HYPERLINK("https://psearch.kitsapgov.com/webappa/index.html?parcelID=1138973&amp;Theme=Imagery","1138973")</f>
        <v>1138973</v>
      </c>
      <c r="G45" s="16" t="s">
        <v>295</v>
      </c>
      <c r="H45" s="17">
        <v>42103</v>
      </c>
      <c r="I45" s="18">
        <v>240000</v>
      </c>
      <c r="J45" s="19">
        <v>0.13</v>
      </c>
      <c r="K45" s="16" t="s">
        <v>296</v>
      </c>
      <c r="L45" s="16" t="s">
        <v>38</v>
      </c>
      <c r="M45" s="16" t="s">
        <v>297</v>
      </c>
      <c r="N45" s="16" t="s">
        <v>298</v>
      </c>
    </row>
    <row r="46" spans="1:14" ht="20.100000000000001" customHeight="1" x14ac:dyDescent="0.25">
      <c r="A46" s="15" t="s">
        <v>299</v>
      </c>
      <c r="B46" s="16" t="s">
        <v>57</v>
      </c>
      <c r="C46" s="15">
        <v>8402305</v>
      </c>
      <c r="D46" s="16" t="s">
        <v>259</v>
      </c>
      <c r="E46" s="15" t="s">
        <v>300</v>
      </c>
      <c r="F46" s="21" t="str">
        <f>HYPERLINK("https://psearch.kitsapgov.com/webappa/index.html?parcelID=2337855&amp;Theme=Imagery","2337855")</f>
        <v>2337855</v>
      </c>
      <c r="G46" s="16" t="s">
        <v>301</v>
      </c>
      <c r="H46" s="17">
        <v>42114</v>
      </c>
      <c r="I46" s="18">
        <v>145000</v>
      </c>
      <c r="J46" s="19">
        <v>0.61</v>
      </c>
      <c r="K46" s="16" t="s">
        <v>302</v>
      </c>
      <c r="L46" s="16" t="s">
        <v>38</v>
      </c>
      <c r="M46" s="16" t="s">
        <v>303</v>
      </c>
      <c r="N46" s="16" t="s">
        <v>304</v>
      </c>
    </row>
    <row r="47" spans="1:14" ht="20.100000000000001" customHeight="1" x14ac:dyDescent="0.25">
      <c r="A47" s="15" t="s">
        <v>305</v>
      </c>
      <c r="B47" s="16" t="s">
        <v>306</v>
      </c>
      <c r="C47" s="15">
        <v>8400302</v>
      </c>
      <c r="D47" s="16" t="s">
        <v>133</v>
      </c>
      <c r="E47" s="15" t="s">
        <v>307</v>
      </c>
      <c r="F47" s="21" t="str">
        <f>HYPERLINK("https://psearch.kitsapgov.com/webappa/index.html?parcelID=2357309&amp;Theme=Imagery","2357309")</f>
        <v>2357309</v>
      </c>
      <c r="G47" s="16" t="s">
        <v>308</v>
      </c>
      <c r="H47" s="17">
        <v>42111</v>
      </c>
      <c r="I47" s="18">
        <v>200000</v>
      </c>
      <c r="J47" s="19">
        <v>0.43</v>
      </c>
      <c r="K47" s="16" t="s">
        <v>309</v>
      </c>
      <c r="L47" s="16" t="s">
        <v>38</v>
      </c>
      <c r="M47" s="16" t="s">
        <v>310</v>
      </c>
      <c r="N47" s="16" t="s">
        <v>311</v>
      </c>
    </row>
    <row r="48" spans="1:14" ht="20.100000000000001" customHeight="1" x14ac:dyDescent="0.25">
      <c r="A48" s="15" t="s">
        <v>312</v>
      </c>
      <c r="B48" s="16" t="s">
        <v>286</v>
      </c>
      <c r="C48" s="15">
        <v>8303660</v>
      </c>
      <c r="D48" s="16" t="s">
        <v>313</v>
      </c>
      <c r="E48" s="15" t="s">
        <v>314</v>
      </c>
      <c r="F48" s="21" t="str">
        <f>HYPERLINK("https://psearch.kitsapgov.com/webappa/index.html?parcelID=1883966&amp;Theme=Imagery","1883966")</f>
        <v>1883966</v>
      </c>
      <c r="G48" s="16" t="s">
        <v>107</v>
      </c>
      <c r="H48" s="17">
        <v>42103</v>
      </c>
      <c r="I48" s="18">
        <v>45000</v>
      </c>
      <c r="J48" s="19">
        <v>0</v>
      </c>
      <c r="L48" s="16" t="s">
        <v>38</v>
      </c>
      <c r="M48" s="16" t="s">
        <v>315</v>
      </c>
      <c r="N48" s="16" t="s">
        <v>316</v>
      </c>
    </row>
    <row r="49" spans="1:14" ht="20.100000000000001" customHeight="1" x14ac:dyDescent="0.25">
      <c r="A49" s="15" t="s">
        <v>317</v>
      </c>
      <c r="B49" s="16" t="s">
        <v>318</v>
      </c>
      <c r="C49" s="15">
        <v>8402391</v>
      </c>
      <c r="D49" s="16" t="s">
        <v>227</v>
      </c>
      <c r="E49" s="15" t="s">
        <v>319</v>
      </c>
      <c r="F49" s="21" t="str">
        <f>HYPERLINK("https://psearch.kitsapgov.com/webappa/index.html?parcelID=2455954&amp;Theme=Imagery","2455954")</f>
        <v>2455954</v>
      </c>
      <c r="G49" s="16" t="s">
        <v>320</v>
      </c>
      <c r="H49" s="17">
        <v>42115</v>
      </c>
      <c r="I49" s="18">
        <v>40000</v>
      </c>
      <c r="J49" s="19">
        <v>0</v>
      </c>
      <c r="L49" s="16" t="s">
        <v>290</v>
      </c>
      <c r="M49" s="16" t="s">
        <v>321</v>
      </c>
      <c r="N49" s="16" t="s">
        <v>322</v>
      </c>
    </row>
    <row r="50" spans="1:14" ht="20.100000000000001" customHeight="1" x14ac:dyDescent="0.25">
      <c r="A50" s="15" t="s">
        <v>323</v>
      </c>
      <c r="B50" s="16" t="s">
        <v>49</v>
      </c>
      <c r="C50" s="15">
        <v>8303601</v>
      </c>
      <c r="D50" s="16" t="s">
        <v>50</v>
      </c>
      <c r="E50" s="15" t="s">
        <v>324</v>
      </c>
      <c r="F50" s="21" t="str">
        <f>HYPERLINK("https://psearch.kitsapgov.com/webappa/index.html?parcelID=1516111&amp;Theme=Imagery","1516111")</f>
        <v>1516111</v>
      </c>
      <c r="G50" s="16" t="s">
        <v>325</v>
      </c>
      <c r="H50" s="17">
        <v>42110</v>
      </c>
      <c r="I50" s="18">
        <v>473000</v>
      </c>
      <c r="J50" s="19">
        <v>0.18</v>
      </c>
      <c r="K50" s="16" t="s">
        <v>326</v>
      </c>
      <c r="L50" s="16" t="s">
        <v>38</v>
      </c>
      <c r="M50" s="16" t="s">
        <v>327</v>
      </c>
      <c r="N50" s="16" t="s">
        <v>328</v>
      </c>
    </row>
    <row r="51" spans="1:14" ht="20.100000000000001" customHeight="1" x14ac:dyDescent="0.25">
      <c r="A51" s="15" t="s">
        <v>329</v>
      </c>
      <c r="B51" s="16" t="s">
        <v>330</v>
      </c>
      <c r="C51" s="15">
        <v>8402306</v>
      </c>
      <c r="D51" s="16" t="s">
        <v>34</v>
      </c>
      <c r="E51" s="15" t="s">
        <v>331</v>
      </c>
      <c r="F51" s="21" t="str">
        <f>HYPERLINK("https://psearch.kitsapgov.com/webappa/index.html?parcelID=1161447&amp;Theme=Imagery","1161447")</f>
        <v>1161447</v>
      </c>
      <c r="G51" s="16" t="s">
        <v>332</v>
      </c>
      <c r="H51" s="17">
        <v>42121</v>
      </c>
      <c r="I51" s="18">
        <v>1650000</v>
      </c>
      <c r="J51" s="19">
        <v>1.57</v>
      </c>
      <c r="K51" s="16" t="s">
        <v>333</v>
      </c>
      <c r="L51" s="16" t="s">
        <v>20</v>
      </c>
      <c r="M51" s="16" t="s">
        <v>334</v>
      </c>
      <c r="N51" s="16" t="s">
        <v>335</v>
      </c>
    </row>
    <row r="52" spans="1:14" ht="20.100000000000001" customHeight="1" x14ac:dyDescent="0.25">
      <c r="A52" s="15" t="s">
        <v>336</v>
      </c>
      <c r="B52" s="16" t="s">
        <v>318</v>
      </c>
      <c r="C52" s="15">
        <v>8402391</v>
      </c>
      <c r="D52" s="16" t="s">
        <v>227</v>
      </c>
      <c r="E52" s="15" t="s">
        <v>337</v>
      </c>
      <c r="F52" s="21" t="str">
        <f>HYPERLINK("https://psearch.kitsapgov.com/webappa/index.html?parcelID=2288769&amp;Theme=Imagery","2288769")</f>
        <v>2288769</v>
      </c>
      <c r="G52" s="16" t="s">
        <v>338</v>
      </c>
      <c r="H52" s="17">
        <v>42123</v>
      </c>
      <c r="I52" s="18">
        <v>45000</v>
      </c>
      <c r="J52" s="19">
        <v>0</v>
      </c>
      <c r="L52" s="16" t="s">
        <v>290</v>
      </c>
      <c r="M52" s="16" t="s">
        <v>339</v>
      </c>
      <c r="N52" s="16" t="s">
        <v>340</v>
      </c>
    </row>
    <row r="53" spans="1:14" ht="20.100000000000001" customHeight="1" x14ac:dyDescent="0.25">
      <c r="A53" s="15" t="s">
        <v>341</v>
      </c>
      <c r="B53" s="16" t="s">
        <v>66</v>
      </c>
      <c r="C53" s="15">
        <v>8401104</v>
      </c>
      <c r="D53" s="16" t="s">
        <v>144</v>
      </c>
      <c r="E53" s="15" t="s">
        <v>342</v>
      </c>
      <c r="F53" s="21" t="str">
        <f>HYPERLINK("https://psearch.kitsapgov.com/webappa/index.html?parcelID=1247584&amp;Theme=Imagery","1247584")</f>
        <v>1247584</v>
      </c>
      <c r="G53" s="16" t="s">
        <v>343</v>
      </c>
      <c r="H53" s="17">
        <v>42117</v>
      </c>
      <c r="I53" s="18">
        <v>350000</v>
      </c>
      <c r="J53" s="19">
        <v>0.41</v>
      </c>
      <c r="K53" s="16" t="s">
        <v>78</v>
      </c>
      <c r="L53" s="16" t="s">
        <v>38</v>
      </c>
      <c r="M53" s="16" t="s">
        <v>344</v>
      </c>
      <c r="N53" s="16" t="s">
        <v>345</v>
      </c>
    </row>
    <row r="54" spans="1:14" ht="20.100000000000001" customHeight="1" x14ac:dyDescent="0.25">
      <c r="A54" s="15" t="s">
        <v>346</v>
      </c>
      <c r="B54" s="16" t="s">
        <v>347</v>
      </c>
      <c r="C54" s="15">
        <v>8400202</v>
      </c>
      <c r="D54" s="16" t="s">
        <v>158</v>
      </c>
      <c r="E54" s="15" t="s">
        <v>348</v>
      </c>
      <c r="F54" s="21" t="str">
        <f>HYPERLINK("https://psearch.kitsapgov.com/webappa/index.html?parcelID=2458545&amp;Theme=Imagery","2458545")</f>
        <v>2458545</v>
      </c>
      <c r="G54" s="16" t="s">
        <v>349</v>
      </c>
      <c r="H54" s="17">
        <v>42114</v>
      </c>
      <c r="I54" s="18">
        <v>1312000</v>
      </c>
      <c r="J54" s="19">
        <v>0.75</v>
      </c>
      <c r="K54" s="16" t="s">
        <v>100</v>
      </c>
      <c r="L54" s="16" t="s">
        <v>20</v>
      </c>
      <c r="M54" s="16" t="s">
        <v>350</v>
      </c>
      <c r="N54" s="16" t="s">
        <v>351</v>
      </c>
    </row>
    <row r="55" spans="1:14" ht="20.100000000000001" customHeight="1" x14ac:dyDescent="0.25">
      <c r="A55" s="15" t="s">
        <v>352</v>
      </c>
      <c r="B55" s="16" t="s">
        <v>286</v>
      </c>
      <c r="C55" s="15">
        <v>8303660</v>
      </c>
      <c r="D55" s="16" t="s">
        <v>313</v>
      </c>
      <c r="E55" s="15" t="s">
        <v>353</v>
      </c>
      <c r="F55" s="21" t="str">
        <f>HYPERLINK("https://psearch.kitsapgov.com/webappa/index.html?parcelID=1883529&amp;Theme=Imagery","1883529")</f>
        <v>1883529</v>
      </c>
      <c r="G55" s="16" t="s">
        <v>354</v>
      </c>
      <c r="H55" s="17">
        <v>42121</v>
      </c>
      <c r="I55" s="18">
        <v>59000</v>
      </c>
      <c r="J55" s="19">
        <v>0</v>
      </c>
      <c r="L55" s="16" t="s">
        <v>38</v>
      </c>
      <c r="M55" s="16" t="s">
        <v>355</v>
      </c>
      <c r="N55" s="16" t="s">
        <v>356</v>
      </c>
    </row>
    <row r="56" spans="1:14" ht="20.100000000000001" customHeight="1" x14ac:dyDescent="0.25">
      <c r="A56" s="15" t="s">
        <v>357</v>
      </c>
      <c r="B56" s="16" t="s">
        <v>358</v>
      </c>
      <c r="C56" s="15">
        <v>8303601</v>
      </c>
      <c r="D56" s="16" t="s">
        <v>50</v>
      </c>
      <c r="E56" s="15" t="s">
        <v>359</v>
      </c>
      <c r="F56" s="21" t="str">
        <f>HYPERLINK("https://psearch.kitsapgov.com/webappa/index.html?parcelID=1308287&amp;Theme=Imagery","1308287")</f>
        <v>1308287</v>
      </c>
      <c r="G56" s="16" t="s">
        <v>360</v>
      </c>
      <c r="H56" s="17">
        <v>42124</v>
      </c>
      <c r="I56" s="18">
        <v>2000000</v>
      </c>
      <c r="J56" s="19">
        <v>1.84</v>
      </c>
      <c r="K56" s="16" t="s">
        <v>53</v>
      </c>
      <c r="L56" s="16" t="s">
        <v>38</v>
      </c>
      <c r="M56" s="16" t="s">
        <v>361</v>
      </c>
      <c r="N56" s="16" t="s">
        <v>362</v>
      </c>
    </row>
    <row r="57" spans="1:14" ht="20.100000000000001" customHeight="1" x14ac:dyDescent="0.25">
      <c r="A57" s="15" t="s">
        <v>363</v>
      </c>
      <c r="B57" s="16" t="s">
        <v>286</v>
      </c>
      <c r="C57" s="15">
        <v>8303660</v>
      </c>
      <c r="D57" s="16" t="s">
        <v>313</v>
      </c>
      <c r="E57" s="15" t="s">
        <v>364</v>
      </c>
      <c r="F57" s="21" t="str">
        <f>HYPERLINK("https://psearch.kitsapgov.com/webappa/index.html?parcelID=1883545&amp;Theme=Imagery","1883545")</f>
        <v>1883545</v>
      </c>
      <c r="G57" s="16" t="s">
        <v>365</v>
      </c>
      <c r="H57" s="17">
        <v>42121</v>
      </c>
      <c r="I57" s="18">
        <v>59000</v>
      </c>
      <c r="J57" s="19">
        <v>0</v>
      </c>
      <c r="L57" s="16" t="s">
        <v>38</v>
      </c>
      <c r="M57" s="16" t="s">
        <v>366</v>
      </c>
      <c r="N57" s="16" t="s">
        <v>356</v>
      </c>
    </row>
    <row r="58" spans="1:14" ht="20.100000000000001" customHeight="1" x14ac:dyDescent="0.25">
      <c r="A58" s="15" t="s">
        <v>367</v>
      </c>
      <c r="B58" s="16" t="s">
        <v>368</v>
      </c>
      <c r="C58" s="15">
        <v>8402307</v>
      </c>
      <c r="D58" s="16" t="s">
        <v>151</v>
      </c>
      <c r="E58" s="15" t="s">
        <v>369</v>
      </c>
      <c r="F58" s="21" t="str">
        <f>HYPERLINK("https://psearch.kitsapgov.com/webappa/index.html?parcelID=1174879&amp;Theme=Imagery","1174879")</f>
        <v>1174879</v>
      </c>
      <c r="G58" s="16" t="s">
        <v>370</v>
      </c>
      <c r="H58" s="17">
        <v>42124</v>
      </c>
      <c r="I58" s="18">
        <v>250000</v>
      </c>
      <c r="J58" s="19">
        <v>1.23</v>
      </c>
      <c r="K58" s="16" t="s">
        <v>371</v>
      </c>
      <c r="L58" s="16" t="s">
        <v>372</v>
      </c>
      <c r="M58" s="16" t="s">
        <v>373</v>
      </c>
      <c r="N58" s="16" t="s">
        <v>374</v>
      </c>
    </row>
    <row r="59" spans="1:14" ht="20.100000000000001" customHeight="1" x14ac:dyDescent="0.25">
      <c r="A59" s="15" t="s">
        <v>375</v>
      </c>
      <c r="B59" s="16" t="s">
        <v>347</v>
      </c>
      <c r="C59" s="15">
        <v>8401508</v>
      </c>
      <c r="D59" s="16" t="s">
        <v>90</v>
      </c>
      <c r="E59" s="15" t="s">
        <v>376</v>
      </c>
      <c r="F59" s="21" t="str">
        <f>HYPERLINK("https://psearch.kitsapgov.com/webappa/index.html?parcelID=2077832&amp;Theme=Imagery","2077832")</f>
        <v>2077832</v>
      </c>
      <c r="G59" s="16" t="s">
        <v>377</v>
      </c>
      <c r="H59" s="17">
        <v>42122</v>
      </c>
      <c r="I59" s="18">
        <v>1000000</v>
      </c>
      <c r="J59" s="19">
        <v>0.92</v>
      </c>
      <c r="K59" s="16" t="s">
        <v>78</v>
      </c>
      <c r="L59" s="16" t="s">
        <v>38</v>
      </c>
      <c r="M59" s="16" t="s">
        <v>378</v>
      </c>
      <c r="N59" s="16" t="s">
        <v>379</v>
      </c>
    </row>
    <row r="60" spans="1:14" ht="20.100000000000001" customHeight="1" x14ac:dyDescent="0.25">
      <c r="A60" s="15" t="s">
        <v>380</v>
      </c>
      <c r="B60" s="16" t="s">
        <v>381</v>
      </c>
      <c r="C60" s="15">
        <v>9100541</v>
      </c>
      <c r="D60" s="16" t="s">
        <v>215</v>
      </c>
      <c r="E60" s="15" t="s">
        <v>382</v>
      </c>
      <c r="F60" s="21" t="str">
        <f>HYPERLINK("https://psearch.kitsapgov.com/webappa/index.html?parcelID=1455054&amp;Theme=Imagery","1455054")</f>
        <v>1455054</v>
      </c>
      <c r="G60" s="16" t="s">
        <v>383</v>
      </c>
      <c r="H60" s="17">
        <v>42125</v>
      </c>
      <c r="I60" s="18">
        <v>400000</v>
      </c>
      <c r="J60" s="19">
        <v>0.17</v>
      </c>
      <c r="K60" s="16" t="s">
        <v>235</v>
      </c>
      <c r="L60" s="16" t="s">
        <v>79</v>
      </c>
      <c r="M60" s="16" t="s">
        <v>384</v>
      </c>
      <c r="N60" s="16" t="s">
        <v>385</v>
      </c>
    </row>
    <row r="61" spans="1:14" ht="20.100000000000001" customHeight="1" x14ac:dyDescent="0.25">
      <c r="A61" s="15" t="s">
        <v>386</v>
      </c>
      <c r="B61" s="16" t="s">
        <v>124</v>
      </c>
      <c r="C61" s="15">
        <v>9402390</v>
      </c>
      <c r="D61" s="16" t="s">
        <v>271</v>
      </c>
      <c r="E61" s="15" t="s">
        <v>272</v>
      </c>
      <c r="F61" s="21" t="str">
        <f>HYPERLINK("https://psearch.kitsapgov.com/webappa/index.html?parcelID=1173194&amp;Theme=Imagery","1173194")</f>
        <v>1173194</v>
      </c>
      <c r="G61" s="16" t="s">
        <v>273</v>
      </c>
      <c r="H61" s="17">
        <v>42124</v>
      </c>
      <c r="I61" s="18">
        <v>226000</v>
      </c>
      <c r="J61" s="19">
        <v>0.31</v>
      </c>
      <c r="K61" s="16" t="s">
        <v>274</v>
      </c>
      <c r="L61" s="16" t="s">
        <v>129</v>
      </c>
      <c r="M61" s="16" t="s">
        <v>130</v>
      </c>
      <c r="N61" s="16" t="s">
        <v>275</v>
      </c>
    </row>
    <row r="62" spans="1:14" ht="20.100000000000001" customHeight="1" x14ac:dyDescent="0.25">
      <c r="A62" s="15" t="s">
        <v>387</v>
      </c>
      <c r="B62" s="16" t="s">
        <v>214</v>
      </c>
      <c r="C62" s="15">
        <v>9100541</v>
      </c>
      <c r="D62" s="16" t="s">
        <v>215</v>
      </c>
      <c r="E62" s="15" t="s">
        <v>388</v>
      </c>
      <c r="F62" s="21" t="str">
        <f>HYPERLINK("https://psearch.kitsapgov.com/webappa/index.html?parcelID=1467588&amp;Theme=Imagery","1467588")</f>
        <v>1467588</v>
      </c>
      <c r="G62" s="16" t="s">
        <v>389</v>
      </c>
      <c r="H62" s="17">
        <v>42130</v>
      </c>
      <c r="I62" s="18">
        <v>497000</v>
      </c>
      <c r="J62" s="19">
        <v>0.21</v>
      </c>
      <c r="K62" s="16" t="s">
        <v>235</v>
      </c>
      <c r="L62" s="16" t="s">
        <v>38</v>
      </c>
      <c r="M62" s="16" t="s">
        <v>390</v>
      </c>
      <c r="N62" s="16" t="s">
        <v>391</v>
      </c>
    </row>
    <row r="63" spans="1:14" ht="20.100000000000001" customHeight="1" x14ac:dyDescent="0.25">
      <c r="A63" s="15" t="s">
        <v>392</v>
      </c>
      <c r="B63" s="16" t="s">
        <v>393</v>
      </c>
      <c r="C63" s="15">
        <v>9401190</v>
      </c>
      <c r="D63" s="16" t="s">
        <v>394</v>
      </c>
      <c r="E63" s="15" t="s">
        <v>395</v>
      </c>
      <c r="F63" s="21" t="str">
        <f>HYPERLINK("https://psearch.kitsapgov.com/webappa/index.html?parcelID=1968635&amp;Theme=Imagery","1968635")</f>
        <v>1968635</v>
      </c>
      <c r="G63" s="16" t="s">
        <v>396</v>
      </c>
      <c r="H63" s="17">
        <v>42131</v>
      </c>
      <c r="I63" s="18">
        <v>12837416</v>
      </c>
      <c r="J63" s="19">
        <v>9.51</v>
      </c>
      <c r="K63" s="16" t="s">
        <v>397</v>
      </c>
      <c r="L63" s="16" t="s">
        <v>20</v>
      </c>
      <c r="M63" s="16" t="s">
        <v>398</v>
      </c>
      <c r="N63" s="16" t="s">
        <v>399</v>
      </c>
    </row>
    <row r="64" spans="1:14" ht="20.100000000000001" customHeight="1" x14ac:dyDescent="0.25">
      <c r="A64" s="15" t="s">
        <v>400</v>
      </c>
      <c r="B64" s="16" t="s">
        <v>239</v>
      </c>
      <c r="C64" s="15">
        <v>8100510</v>
      </c>
      <c r="D64" s="16" t="s">
        <v>401</v>
      </c>
      <c r="E64" s="15" t="s">
        <v>402</v>
      </c>
      <c r="F64" s="21" t="str">
        <f>HYPERLINK("https://psearch.kitsapgov.com/webappa/index.html?parcelID=1467307&amp;Theme=Imagery","1467307")</f>
        <v>1467307</v>
      </c>
      <c r="G64" s="16" t="s">
        <v>403</v>
      </c>
      <c r="H64" s="17">
        <v>42116</v>
      </c>
      <c r="I64" s="18">
        <v>385000</v>
      </c>
      <c r="J64" s="19">
        <v>0.26</v>
      </c>
      <c r="K64" s="16" t="s">
        <v>28</v>
      </c>
      <c r="L64" s="16" t="s">
        <v>38</v>
      </c>
      <c r="M64" s="16" t="s">
        <v>404</v>
      </c>
      <c r="N64" s="16" t="s">
        <v>405</v>
      </c>
    </row>
    <row r="65" spans="1:14" ht="20.100000000000001" customHeight="1" x14ac:dyDescent="0.25">
      <c r="A65" s="15" t="s">
        <v>406</v>
      </c>
      <c r="B65" s="16" t="s">
        <v>407</v>
      </c>
      <c r="C65" s="15">
        <v>8303601</v>
      </c>
      <c r="D65" s="16" t="s">
        <v>50</v>
      </c>
      <c r="E65" s="15" t="s">
        <v>408</v>
      </c>
      <c r="F65" s="21" t="str">
        <f>HYPERLINK("https://psearch.kitsapgov.com/webappa/index.html?parcelID=2371771&amp;Theme=Imagery","2371771")</f>
        <v>2371771</v>
      </c>
      <c r="G65" s="16" t="s">
        <v>409</v>
      </c>
      <c r="H65" s="17">
        <v>42123</v>
      </c>
      <c r="I65" s="18">
        <v>290000</v>
      </c>
      <c r="J65" s="19">
        <v>0</v>
      </c>
      <c r="L65" s="16" t="s">
        <v>38</v>
      </c>
      <c r="M65" s="16" t="s">
        <v>410</v>
      </c>
      <c r="N65" s="16" t="s">
        <v>411</v>
      </c>
    </row>
    <row r="66" spans="1:14" ht="20.100000000000001" customHeight="1" x14ac:dyDescent="0.25">
      <c r="A66" s="15" t="s">
        <v>412</v>
      </c>
      <c r="B66" s="16" t="s">
        <v>368</v>
      </c>
      <c r="C66" s="15">
        <v>8401101</v>
      </c>
      <c r="D66" s="16" t="s">
        <v>185</v>
      </c>
      <c r="E66" s="15" t="s">
        <v>413</v>
      </c>
      <c r="F66" s="21" t="str">
        <f>HYPERLINK("https://psearch.kitsapgov.com/webappa/index.html?parcelID=2207363&amp;Theme=Imagery","2207363")</f>
        <v>2207363</v>
      </c>
      <c r="G66" s="16" t="s">
        <v>414</v>
      </c>
      <c r="H66" s="17">
        <v>42138</v>
      </c>
      <c r="I66" s="18">
        <v>20000000</v>
      </c>
      <c r="J66" s="19">
        <v>6.37</v>
      </c>
      <c r="K66" s="16" t="s">
        <v>188</v>
      </c>
      <c r="L66" s="16" t="s">
        <v>38</v>
      </c>
      <c r="M66" s="16" t="s">
        <v>415</v>
      </c>
      <c r="N66" s="16" t="s">
        <v>416</v>
      </c>
    </row>
    <row r="67" spans="1:14" ht="20.100000000000001" customHeight="1" x14ac:dyDescent="0.25">
      <c r="A67" s="15" t="s">
        <v>417</v>
      </c>
      <c r="B67" s="16" t="s">
        <v>318</v>
      </c>
      <c r="C67" s="15">
        <v>8402391</v>
      </c>
      <c r="D67" s="16" t="s">
        <v>227</v>
      </c>
      <c r="E67" s="15" t="s">
        <v>418</v>
      </c>
      <c r="F67" s="21" t="str">
        <f>HYPERLINK("https://psearch.kitsapgov.com/webappa/index.html?parcelID=2297695&amp;Theme=Imagery","2297695")</f>
        <v>2297695</v>
      </c>
      <c r="G67" s="16" t="s">
        <v>338</v>
      </c>
      <c r="H67" s="17">
        <v>42123</v>
      </c>
      <c r="I67" s="18">
        <v>37500</v>
      </c>
      <c r="J67" s="19">
        <v>0</v>
      </c>
      <c r="L67" s="16" t="s">
        <v>290</v>
      </c>
      <c r="M67" s="16" t="s">
        <v>419</v>
      </c>
      <c r="N67" s="16" t="s">
        <v>420</v>
      </c>
    </row>
    <row r="68" spans="1:14" ht="20.100000000000001" customHeight="1" x14ac:dyDescent="0.25">
      <c r="A68" s="15" t="s">
        <v>421</v>
      </c>
      <c r="B68" s="16" t="s">
        <v>57</v>
      </c>
      <c r="C68" s="15">
        <v>8400204</v>
      </c>
      <c r="D68" s="16" t="s">
        <v>178</v>
      </c>
      <c r="E68" s="15" t="s">
        <v>422</v>
      </c>
      <c r="F68" s="21" t="str">
        <f>HYPERLINK("https://psearch.kitsapgov.com/webappa/index.html?parcelID=2140549&amp;Theme=Imagery","2140549")</f>
        <v>2140549</v>
      </c>
      <c r="G68" s="16" t="s">
        <v>423</v>
      </c>
      <c r="H68" s="17">
        <v>42138</v>
      </c>
      <c r="I68" s="18">
        <v>250000</v>
      </c>
      <c r="J68" s="19">
        <v>2.5299999999999998</v>
      </c>
      <c r="K68" s="16" t="s">
        <v>136</v>
      </c>
      <c r="L68" s="16" t="s">
        <v>38</v>
      </c>
      <c r="M68" s="16" t="s">
        <v>424</v>
      </c>
      <c r="N68" s="16" t="s">
        <v>425</v>
      </c>
    </row>
    <row r="69" spans="1:14" ht="20.100000000000001" customHeight="1" x14ac:dyDescent="0.25">
      <c r="A69" s="15" t="s">
        <v>426</v>
      </c>
      <c r="B69" s="16" t="s">
        <v>89</v>
      </c>
      <c r="C69" s="15">
        <v>8100510</v>
      </c>
      <c r="D69" s="16" t="s">
        <v>401</v>
      </c>
      <c r="E69" s="15" t="s">
        <v>427</v>
      </c>
      <c r="F69" s="21" t="str">
        <f>HYPERLINK("https://psearch.kitsapgov.com/webappa/index.html?parcelID=2132967&amp;Theme=Imagery","2132967")</f>
        <v>2132967</v>
      </c>
      <c r="G69" s="16" t="s">
        <v>428</v>
      </c>
      <c r="H69" s="17">
        <v>42143</v>
      </c>
      <c r="I69" s="18">
        <v>700000</v>
      </c>
      <c r="J69" s="19">
        <v>2.95</v>
      </c>
      <c r="K69" s="16" t="s">
        <v>28</v>
      </c>
      <c r="L69" s="16" t="s">
        <v>38</v>
      </c>
      <c r="M69" s="16" t="s">
        <v>429</v>
      </c>
      <c r="N69" s="16" t="s">
        <v>430</v>
      </c>
    </row>
    <row r="70" spans="1:14" ht="20.100000000000001" customHeight="1" x14ac:dyDescent="0.25">
      <c r="A70" s="15" t="s">
        <v>431</v>
      </c>
      <c r="B70" s="16" t="s">
        <v>49</v>
      </c>
      <c r="C70" s="15">
        <v>8100504</v>
      </c>
      <c r="D70" s="16" t="s">
        <v>58</v>
      </c>
      <c r="E70" s="15" t="s">
        <v>432</v>
      </c>
      <c r="F70" s="21" t="str">
        <f>HYPERLINK("https://psearch.kitsapgov.com/webappa/index.html?parcelID=1673565&amp;Theme=Imagery","1673565")</f>
        <v>1673565</v>
      </c>
      <c r="G70" s="16" t="s">
        <v>433</v>
      </c>
      <c r="H70" s="17">
        <v>42143</v>
      </c>
      <c r="I70" s="18">
        <v>125000</v>
      </c>
      <c r="J70" s="19">
        <v>7.0000000000000007E-2</v>
      </c>
      <c r="K70" s="16" t="s">
        <v>61</v>
      </c>
      <c r="L70" s="16" t="s">
        <v>38</v>
      </c>
      <c r="M70" s="16" t="s">
        <v>434</v>
      </c>
      <c r="N70" s="16" t="s">
        <v>435</v>
      </c>
    </row>
    <row r="71" spans="1:14" ht="20.100000000000001" customHeight="1" x14ac:dyDescent="0.25">
      <c r="A71" s="15" t="s">
        <v>436</v>
      </c>
      <c r="B71" s="16" t="s">
        <v>214</v>
      </c>
      <c r="C71" s="15">
        <v>8303601</v>
      </c>
      <c r="D71" s="16" t="s">
        <v>50</v>
      </c>
      <c r="E71" s="15" t="s">
        <v>437</v>
      </c>
      <c r="F71" s="21" t="str">
        <f>HYPERLINK("https://psearch.kitsapgov.com/webappa/index.html?parcelID=1516160&amp;Theme=Imagery","1516160")</f>
        <v>1516160</v>
      </c>
      <c r="G71" s="16" t="s">
        <v>438</v>
      </c>
      <c r="H71" s="17">
        <v>42145</v>
      </c>
      <c r="I71" s="18">
        <v>66395</v>
      </c>
      <c r="J71" s="19">
        <v>0.18</v>
      </c>
      <c r="K71" s="16" t="s">
        <v>326</v>
      </c>
      <c r="L71" s="16" t="s">
        <v>20</v>
      </c>
      <c r="M71" s="16" t="s">
        <v>439</v>
      </c>
      <c r="N71" s="16" t="s">
        <v>440</v>
      </c>
    </row>
    <row r="72" spans="1:14" ht="20.100000000000001" customHeight="1" x14ac:dyDescent="0.25">
      <c r="A72" s="15" t="s">
        <v>441</v>
      </c>
      <c r="B72" s="16" t="s">
        <v>442</v>
      </c>
      <c r="C72" s="15">
        <v>8100502</v>
      </c>
      <c r="D72" s="16" t="s">
        <v>67</v>
      </c>
      <c r="E72" s="15" t="s">
        <v>443</v>
      </c>
      <c r="F72" s="21" t="str">
        <f>HYPERLINK("https://psearch.kitsapgov.com/webappa/index.html?parcelID=2579811&amp;Theme=Imagery","2579811")</f>
        <v>2579811</v>
      </c>
      <c r="G72" s="16" t="s">
        <v>444</v>
      </c>
      <c r="H72" s="17">
        <v>42143</v>
      </c>
      <c r="I72" s="18">
        <v>375000</v>
      </c>
      <c r="J72" s="19">
        <v>0.72</v>
      </c>
      <c r="K72" s="16" t="s">
        <v>445</v>
      </c>
      <c r="L72" s="16" t="s">
        <v>38</v>
      </c>
      <c r="M72" s="16" t="s">
        <v>446</v>
      </c>
      <c r="N72" s="16" t="s">
        <v>447</v>
      </c>
    </row>
    <row r="73" spans="1:14" ht="20.100000000000001" customHeight="1" x14ac:dyDescent="0.25">
      <c r="A73" s="15" t="s">
        <v>448</v>
      </c>
      <c r="B73" s="16" t="s">
        <v>286</v>
      </c>
      <c r="C73" s="15">
        <v>8400206</v>
      </c>
      <c r="D73" s="16" t="s">
        <v>287</v>
      </c>
      <c r="E73" s="15" t="s">
        <v>449</v>
      </c>
      <c r="F73" s="21" t="str">
        <f>HYPERLINK("https://psearch.kitsapgov.com/webappa/index.html?parcelID=2071165&amp;Theme=Imagery","2071165")</f>
        <v>2071165</v>
      </c>
      <c r="G73" s="16" t="s">
        <v>450</v>
      </c>
      <c r="H73" s="17">
        <v>42144</v>
      </c>
      <c r="I73" s="18">
        <v>36000</v>
      </c>
      <c r="J73" s="19">
        <v>0</v>
      </c>
      <c r="L73" s="16" t="s">
        <v>290</v>
      </c>
      <c r="M73" s="16" t="s">
        <v>451</v>
      </c>
      <c r="N73" s="16" t="s">
        <v>452</v>
      </c>
    </row>
    <row r="74" spans="1:14" ht="20.100000000000001" customHeight="1" x14ac:dyDescent="0.25">
      <c r="A74" s="15" t="s">
        <v>453</v>
      </c>
      <c r="B74" s="16" t="s">
        <v>49</v>
      </c>
      <c r="C74" s="15">
        <v>9100542</v>
      </c>
      <c r="D74" s="16" t="s">
        <v>454</v>
      </c>
      <c r="E74" s="15" t="s">
        <v>455</v>
      </c>
      <c r="F74" s="21" t="str">
        <f>HYPERLINK("https://psearch.kitsapgov.com/webappa/index.html?parcelID=1489954&amp;Theme=Imagery","1489954")</f>
        <v>1489954</v>
      </c>
      <c r="G74" s="16" t="s">
        <v>456</v>
      </c>
      <c r="H74" s="17">
        <v>42146</v>
      </c>
      <c r="I74" s="18">
        <v>120000</v>
      </c>
      <c r="J74" s="19">
        <v>0.18</v>
      </c>
      <c r="K74" s="16" t="s">
        <v>457</v>
      </c>
      <c r="L74" s="16" t="s">
        <v>372</v>
      </c>
      <c r="M74" s="16" t="s">
        <v>458</v>
      </c>
      <c r="N74" s="16" t="s">
        <v>459</v>
      </c>
    </row>
    <row r="75" spans="1:14" ht="20.100000000000001" customHeight="1" x14ac:dyDescent="0.25">
      <c r="A75" s="15" t="s">
        <v>460</v>
      </c>
      <c r="B75" s="16" t="s">
        <v>49</v>
      </c>
      <c r="C75" s="15">
        <v>8100510</v>
      </c>
      <c r="D75" s="16" t="s">
        <v>401</v>
      </c>
      <c r="E75" s="15" t="s">
        <v>461</v>
      </c>
      <c r="F75" s="21" t="str">
        <f>HYPERLINK("https://psearch.kitsapgov.com/webappa/index.html?parcelID=1437888&amp;Theme=Imagery","1437888")</f>
        <v>1437888</v>
      </c>
      <c r="G75" s="16" t="s">
        <v>462</v>
      </c>
      <c r="H75" s="17">
        <v>42138</v>
      </c>
      <c r="I75" s="18">
        <v>81900</v>
      </c>
      <c r="J75" s="19">
        <v>7.0000000000000007E-2</v>
      </c>
      <c r="K75" s="16" t="s">
        <v>28</v>
      </c>
      <c r="L75" s="16" t="s">
        <v>463</v>
      </c>
      <c r="M75" s="16" t="s">
        <v>464</v>
      </c>
      <c r="N75" s="16" t="s">
        <v>465</v>
      </c>
    </row>
    <row r="76" spans="1:14" ht="20.100000000000001" customHeight="1" x14ac:dyDescent="0.25">
      <c r="A76" s="15" t="s">
        <v>466</v>
      </c>
      <c r="B76" s="16" t="s">
        <v>89</v>
      </c>
      <c r="C76" s="15">
        <v>8401101</v>
      </c>
      <c r="D76" s="16" t="s">
        <v>185</v>
      </c>
      <c r="E76" s="15" t="s">
        <v>467</v>
      </c>
      <c r="F76" s="21" t="str">
        <f>HYPERLINK("https://psearch.kitsapgov.com/webappa/index.html?parcelID=1960665&amp;Theme=Imagery","1960665")</f>
        <v>1960665</v>
      </c>
      <c r="G76" s="16" t="s">
        <v>468</v>
      </c>
      <c r="H76" s="17">
        <v>42156</v>
      </c>
      <c r="I76" s="18">
        <v>3190000</v>
      </c>
      <c r="J76" s="19">
        <v>1.23</v>
      </c>
      <c r="K76" s="16" t="s">
        <v>188</v>
      </c>
      <c r="L76" s="16" t="s">
        <v>38</v>
      </c>
      <c r="M76" s="16" t="s">
        <v>469</v>
      </c>
      <c r="N76" s="16" t="s">
        <v>470</v>
      </c>
    </row>
    <row r="77" spans="1:14" ht="20.100000000000001" customHeight="1" x14ac:dyDescent="0.25">
      <c r="A77" s="15" t="s">
        <v>471</v>
      </c>
      <c r="B77" s="16" t="s">
        <v>89</v>
      </c>
      <c r="C77" s="15">
        <v>8100506</v>
      </c>
      <c r="D77" s="16" t="s">
        <v>25</v>
      </c>
      <c r="E77" s="15" t="s">
        <v>472</v>
      </c>
      <c r="F77" s="21" t="str">
        <f>HYPERLINK("https://psearch.kitsapgov.com/webappa/index.html?parcelID=1104629&amp;Theme=Imagery","1104629")</f>
        <v>1104629</v>
      </c>
      <c r="G77" s="16" t="s">
        <v>473</v>
      </c>
      <c r="H77" s="17">
        <v>42156</v>
      </c>
      <c r="I77" s="18">
        <v>365000</v>
      </c>
      <c r="J77" s="19">
        <v>0.26</v>
      </c>
      <c r="K77" s="16" t="s">
        <v>85</v>
      </c>
      <c r="L77" s="16" t="s">
        <v>38</v>
      </c>
      <c r="M77" s="16" t="s">
        <v>86</v>
      </c>
      <c r="N77" s="16" t="s">
        <v>474</v>
      </c>
    </row>
    <row r="78" spans="1:14" ht="20.100000000000001" customHeight="1" x14ac:dyDescent="0.25">
      <c r="A78" s="15" t="s">
        <v>475</v>
      </c>
      <c r="B78" s="16" t="s">
        <v>104</v>
      </c>
      <c r="C78" s="15">
        <v>8402306</v>
      </c>
      <c r="D78" s="16" t="s">
        <v>34</v>
      </c>
      <c r="E78" s="15" t="s">
        <v>476</v>
      </c>
      <c r="F78" s="21" t="str">
        <f>HYPERLINK("https://psearch.kitsapgov.com/webappa/index.html?parcelID=1501246&amp;Theme=Imagery","1501246")</f>
        <v>1501246</v>
      </c>
      <c r="G78" s="16" t="s">
        <v>477</v>
      </c>
      <c r="H78" s="17">
        <v>42157</v>
      </c>
      <c r="I78" s="18">
        <v>192850</v>
      </c>
      <c r="J78" s="19">
        <v>0.26</v>
      </c>
      <c r="K78" s="16" t="s">
        <v>371</v>
      </c>
      <c r="L78" s="16" t="s">
        <v>372</v>
      </c>
      <c r="M78" s="16" t="s">
        <v>478</v>
      </c>
      <c r="N78" s="16" t="s">
        <v>479</v>
      </c>
    </row>
    <row r="79" spans="1:14" ht="20.100000000000001" customHeight="1" x14ac:dyDescent="0.25">
      <c r="A79" s="15" t="s">
        <v>480</v>
      </c>
      <c r="B79" s="16" t="s">
        <v>57</v>
      </c>
      <c r="C79" s="15">
        <v>8401101</v>
      </c>
      <c r="D79" s="16" t="s">
        <v>185</v>
      </c>
      <c r="E79" s="15" t="s">
        <v>481</v>
      </c>
      <c r="F79" s="21" t="str">
        <f>HYPERLINK("https://psearch.kitsapgov.com/webappa/index.html?parcelID=1240506&amp;Theme=Imagery","1240506")</f>
        <v>1240506</v>
      </c>
      <c r="G79" s="16" t="s">
        <v>482</v>
      </c>
      <c r="H79" s="17">
        <v>42160</v>
      </c>
      <c r="I79" s="18">
        <v>35000</v>
      </c>
      <c r="J79" s="19">
        <v>1.48</v>
      </c>
      <c r="K79" s="16" t="s">
        <v>78</v>
      </c>
      <c r="L79" s="16" t="s">
        <v>38</v>
      </c>
      <c r="M79" s="16" t="s">
        <v>483</v>
      </c>
      <c r="N79" s="16" t="s">
        <v>484</v>
      </c>
    </row>
    <row r="80" spans="1:14" ht="20.100000000000001" customHeight="1" x14ac:dyDescent="0.25">
      <c r="A80" s="15" t="s">
        <v>485</v>
      </c>
      <c r="B80" s="16" t="s">
        <v>66</v>
      </c>
      <c r="C80" s="15">
        <v>8100506</v>
      </c>
      <c r="D80" s="16" t="s">
        <v>25</v>
      </c>
      <c r="E80" s="15" t="s">
        <v>486</v>
      </c>
      <c r="F80" s="21" t="str">
        <f>HYPERLINK("https://psearch.kitsapgov.com/webappa/index.html?parcelID=1497981&amp;Theme=Imagery","1497981")</f>
        <v>1497981</v>
      </c>
      <c r="G80" s="16" t="s">
        <v>487</v>
      </c>
      <c r="H80" s="17">
        <v>42164</v>
      </c>
      <c r="I80" s="18">
        <v>185000</v>
      </c>
      <c r="J80" s="19">
        <v>0.23</v>
      </c>
      <c r="K80" s="16" t="s">
        <v>85</v>
      </c>
      <c r="L80" s="16" t="s">
        <v>129</v>
      </c>
      <c r="M80" s="16" t="s">
        <v>488</v>
      </c>
      <c r="N80" s="16" t="s">
        <v>489</v>
      </c>
    </row>
    <row r="81" spans="1:14" ht="20.100000000000001" customHeight="1" x14ac:dyDescent="0.25">
      <c r="A81" s="15" t="s">
        <v>490</v>
      </c>
      <c r="B81" s="16" t="s">
        <v>286</v>
      </c>
      <c r="C81" s="15">
        <v>8303660</v>
      </c>
      <c r="D81" s="16" t="s">
        <v>313</v>
      </c>
      <c r="E81" s="15" t="s">
        <v>491</v>
      </c>
      <c r="F81" s="21" t="str">
        <f>HYPERLINK("https://psearch.kitsapgov.com/webappa/index.html?parcelID=1882430&amp;Theme=Imagery","1882430")</f>
        <v>1882430</v>
      </c>
      <c r="G81" s="16" t="s">
        <v>492</v>
      </c>
      <c r="H81" s="17">
        <v>42156</v>
      </c>
      <c r="I81" s="18">
        <v>100000</v>
      </c>
      <c r="J81" s="19">
        <v>0</v>
      </c>
      <c r="L81" s="16" t="s">
        <v>290</v>
      </c>
      <c r="M81" s="16" t="s">
        <v>493</v>
      </c>
      <c r="N81" s="16" t="s">
        <v>494</v>
      </c>
    </row>
    <row r="82" spans="1:14" ht="20.100000000000001" customHeight="1" x14ac:dyDescent="0.25">
      <c r="A82" s="15" t="s">
        <v>495</v>
      </c>
      <c r="B82" s="16" t="s">
        <v>57</v>
      </c>
      <c r="C82" s="15">
        <v>8303601</v>
      </c>
      <c r="D82" s="16" t="s">
        <v>50</v>
      </c>
      <c r="E82" s="15" t="s">
        <v>496</v>
      </c>
      <c r="F82" s="21" t="str">
        <f>HYPERLINK("https://psearch.kitsapgov.com/webappa/index.html?parcelID=1310960&amp;Theme=Imagery","1310960")</f>
        <v>1310960</v>
      </c>
      <c r="G82" s="16" t="s">
        <v>497</v>
      </c>
      <c r="H82" s="17">
        <v>42160</v>
      </c>
      <c r="I82" s="18">
        <v>1750000</v>
      </c>
      <c r="J82" s="19">
        <v>0.95</v>
      </c>
      <c r="K82" s="16" t="s">
        <v>326</v>
      </c>
      <c r="L82" s="16" t="s">
        <v>38</v>
      </c>
      <c r="M82" s="16" t="s">
        <v>498</v>
      </c>
      <c r="N82" s="16" t="s">
        <v>499</v>
      </c>
    </row>
    <row r="83" spans="1:14" ht="20.100000000000001" customHeight="1" x14ac:dyDescent="0.25">
      <c r="A83" s="15" t="s">
        <v>500</v>
      </c>
      <c r="B83" s="16" t="s">
        <v>407</v>
      </c>
      <c r="C83" s="15">
        <v>8400202</v>
      </c>
      <c r="D83" s="16" t="s">
        <v>158</v>
      </c>
      <c r="E83" s="15" t="s">
        <v>501</v>
      </c>
      <c r="F83" s="21" t="str">
        <f>HYPERLINK("https://psearch.kitsapgov.com/webappa/index.html?parcelID=2537900&amp;Theme=Imagery","2537900")</f>
        <v>2537900</v>
      </c>
      <c r="G83" s="16" t="s">
        <v>502</v>
      </c>
      <c r="H83" s="17">
        <v>42170</v>
      </c>
      <c r="I83" s="18">
        <v>1200000</v>
      </c>
      <c r="J83" s="19">
        <v>0.11</v>
      </c>
      <c r="K83" s="16" t="s">
        <v>100</v>
      </c>
      <c r="L83" s="16" t="s">
        <v>38</v>
      </c>
      <c r="M83" s="16" t="s">
        <v>415</v>
      </c>
      <c r="N83" s="16" t="s">
        <v>503</v>
      </c>
    </row>
    <row r="84" spans="1:14" ht="20.100000000000001" customHeight="1" x14ac:dyDescent="0.25">
      <c r="A84" s="15" t="s">
        <v>504</v>
      </c>
      <c r="B84" s="16" t="s">
        <v>124</v>
      </c>
      <c r="C84" s="15">
        <v>9402390</v>
      </c>
      <c r="D84" s="16" t="s">
        <v>271</v>
      </c>
      <c r="E84" s="15" t="s">
        <v>505</v>
      </c>
      <c r="F84" s="21" t="str">
        <f>HYPERLINK("https://psearch.kitsapgov.com/webappa/index.html?parcelID=1038769&amp;Theme=Imagery","1038769")</f>
        <v>1038769</v>
      </c>
      <c r="G84" s="16" t="s">
        <v>506</v>
      </c>
      <c r="H84" s="17">
        <v>42173</v>
      </c>
      <c r="I84" s="18">
        <v>316868</v>
      </c>
      <c r="J84" s="19">
        <v>0.28000000000000003</v>
      </c>
      <c r="K84" s="16" t="s">
        <v>274</v>
      </c>
      <c r="L84" s="16" t="s">
        <v>38</v>
      </c>
      <c r="M84" s="16" t="s">
        <v>507</v>
      </c>
      <c r="N84" s="16" t="s">
        <v>508</v>
      </c>
    </row>
    <row r="85" spans="1:14" ht="20.100000000000001" customHeight="1" x14ac:dyDescent="0.25">
      <c r="A85" s="15" t="s">
        <v>509</v>
      </c>
      <c r="B85" s="16" t="s">
        <v>57</v>
      </c>
      <c r="C85" s="15">
        <v>8402307</v>
      </c>
      <c r="D85" s="16" t="s">
        <v>151</v>
      </c>
      <c r="E85" s="15" t="s">
        <v>510</v>
      </c>
      <c r="F85" s="21" t="str">
        <f>HYPERLINK("https://psearch.kitsapgov.com/webappa/index.html?parcelID=1039817&amp;Theme=Imagery","1039817")</f>
        <v>1039817</v>
      </c>
      <c r="G85" s="16" t="s">
        <v>511</v>
      </c>
      <c r="H85" s="17">
        <v>42173</v>
      </c>
      <c r="I85" s="18">
        <v>255000</v>
      </c>
      <c r="J85" s="19">
        <v>4.04</v>
      </c>
      <c r="K85" s="16" t="s">
        <v>371</v>
      </c>
      <c r="L85" s="16" t="s">
        <v>38</v>
      </c>
      <c r="M85" s="16" t="s">
        <v>512</v>
      </c>
      <c r="N85" s="16" t="s">
        <v>513</v>
      </c>
    </row>
    <row r="86" spans="1:14" ht="20.100000000000001" customHeight="1" x14ac:dyDescent="0.25">
      <c r="A86" s="15" t="s">
        <v>514</v>
      </c>
      <c r="B86" s="16" t="s">
        <v>286</v>
      </c>
      <c r="C86" s="15">
        <v>8400206</v>
      </c>
      <c r="D86" s="16" t="s">
        <v>287</v>
      </c>
      <c r="E86" s="15" t="s">
        <v>515</v>
      </c>
      <c r="F86" s="21" t="str">
        <f>HYPERLINK("https://psearch.kitsapgov.com/webappa/index.html?parcelID=2071785&amp;Theme=Imagery","2071785")</f>
        <v>2071785</v>
      </c>
      <c r="G86" s="16" t="s">
        <v>516</v>
      </c>
      <c r="H86" s="17">
        <v>42173</v>
      </c>
      <c r="I86" s="18">
        <v>12000</v>
      </c>
      <c r="J86" s="19">
        <v>0</v>
      </c>
      <c r="L86" s="16" t="s">
        <v>290</v>
      </c>
      <c r="M86" s="16" t="s">
        <v>517</v>
      </c>
      <c r="N86" s="16" t="s">
        <v>518</v>
      </c>
    </row>
    <row r="87" spans="1:14" ht="20.100000000000001" customHeight="1" x14ac:dyDescent="0.25">
      <c r="A87" s="15" t="s">
        <v>519</v>
      </c>
      <c r="B87" s="16" t="s">
        <v>66</v>
      </c>
      <c r="C87" s="15">
        <v>8100502</v>
      </c>
      <c r="D87" s="16" t="s">
        <v>67</v>
      </c>
      <c r="E87" s="15" t="s">
        <v>520</v>
      </c>
      <c r="F87" s="21" t="str">
        <f>HYPERLINK("https://psearch.kitsapgov.com/webappa/index.html?parcelID=1449578&amp;Theme=Imagery","1449578")</f>
        <v>1449578</v>
      </c>
      <c r="G87" s="16" t="s">
        <v>521</v>
      </c>
      <c r="H87" s="17">
        <v>42173</v>
      </c>
      <c r="I87" s="18">
        <v>220000</v>
      </c>
      <c r="J87" s="19">
        <v>0.34</v>
      </c>
      <c r="K87" s="16" t="s">
        <v>522</v>
      </c>
      <c r="L87" s="16" t="s">
        <v>38</v>
      </c>
      <c r="M87" s="16" t="s">
        <v>523</v>
      </c>
      <c r="N87" s="16" t="s">
        <v>524</v>
      </c>
    </row>
    <row r="88" spans="1:14" ht="20.100000000000001" customHeight="1" x14ac:dyDescent="0.25">
      <c r="A88" s="15" t="s">
        <v>525</v>
      </c>
      <c r="B88" s="16" t="s">
        <v>526</v>
      </c>
      <c r="C88" s="15">
        <v>9303601</v>
      </c>
      <c r="D88" s="16" t="s">
        <v>527</v>
      </c>
      <c r="E88" s="15" t="s">
        <v>528</v>
      </c>
      <c r="F88" s="21" t="str">
        <f>HYPERLINK("https://psearch.kitsapgov.com/webappa/index.html?parcelID=1912245&amp;Theme=Imagery","1912245")</f>
        <v>1912245</v>
      </c>
      <c r="G88" s="16" t="s">
        <v>529</v>
      </c>
      <c r="H88" s="17">
        <v>42167</v>
      </c>
      <c r="I88" s="18">
        <v>720000</v>
      </c>
      <c r="J88" s="19">
        <v>4.53</v>
      </c>
      <c r="K88" s="16" t="s">
        <v>530</v>
      </c>
      <c r="L88" s="16" t="s">
        <v>20</v>
      </c>
      <c r="M88" s="16" t="s">
        <v>531</v>
      </c>
      <c r="N88" s="16" t="s">
        <v>532</v>
      </c>
    </row>
    <row r="89" spans="1:14" ht="20.100000000000001" customHeight="1" x14ac:dyDescent="0.25">
      <c r="A89" s="15" t="s">
        <v>533</v>
      </c>
      <c r="B89" s="16" t="s">
        <v>526</v>
      </c>
      <c r="C89" s="15">
        <v>9402390</v>
      </c>
      <c r="D89" s="16" t="s">
        <v>271</v>
      </c>
      <c r="E89" s="15" t="s">
        <v>534</v>
      </c>
      <c r="F89" s="21" t="str">
        <f>HYPERLINK("https://psearch.kitsapgov.com/webappa/index.html?parcelID=1036656&amp;Theme=Imagery","1036656")</f>
        <v>1036656</v>
      </c>
      <c r="G89" s="16" t="s">
        <v>107</v>
      </c>
      <c r="H89" s="17">
        <v>42180</v>
      </c>
      <c r="I89" s="18">
        <v>254000</v>
      </c>
      <c r="J89" s="19">
        <v>4.84</v>
      </c>
      <c r="K89" s="16" t="s">
        <v>108</v>
      </c>
      <c r="L89" s="16" t="s">
        <v>38</v>
      </c>
      <c r="M89" s="16" t="s">
        <v>512</v>
      </c>
      <c r="N89" s="16" t="s">
        <v>535</v>
      </c>
    </row>
    <row r="90" spans="1:14" ht="20.100000000000001" customHeight="1" x14ac:dyDescent="0.25">
      <c r="A90" s="15" t="s">
        <v>536</v>
      </c>
      <c r="B90" s="16" t="s">
        <v>286</v>
      </c>
      <c r="C90" s="15">
        <v>8303660</v>
      </c>
      <c r="D90" s="16" t="s">
        <v>313</v>
      </c>
      <c r="E90" s="15" t="s">
        <v>537</v>
      </c>
      <c r="F90" s="21" t="str">
        <f>HYPERLINK("https://psearch.kitsapgov.com/webappa/index.html?parcelID=1882992&amp;Theme=Imagery","1882992")</f>
        <v>1882992</v>
      </c>
      <c r="G90" s="16" t="s">
        <v>107</v>
      </c>
      <c r="H90" s="17">
        <v>42179</v>
      </c>
      <c r="I90" s="18">
        <v>98000</v>
      </c>
      <c r="J90" s="19">
        <v>0</v>
      </c>
      <c r="L90" s="16" t="s">
        <v>290</v>
      </c>
      <c r="M90" s="16" t="s">
        <v>315</v>
      </c>
      <c r="N90" s="16" t="s">
        <v>538</v>
      </c>
    </row>
    <row r="91" spans="1:14" ht="20.100000000000001" customHeight="1" x14ac:dyDescent="0.25">
      <c r="A91" s="15" t="s">
        <v>539</v>
      </c>
      <c r="B91" s="16" t="s">
        <v>66</v>
      </c>
      <c r="C91" s="15">
        <v>8402308</v>
      </c>
      <c r="D91" s="16" t="s">
        <v>75</v>
      </c>
      <c r="E91" s="15" t="s">
        <v>540</v>
      </c>
      <c r="F91" s="21" t="str">
        <f>HYPERLINK("https://psearch.kitsapgov.com/webappa/index.html?parcelID=1720739&amp;Theme=Imagery","1720739")</f>
        <v>1720739</v>
      </c>
      <c r="G91" s="16" t="s">
        <v>541</v>
      </c>
      <c r="H91" s="17">
        <v>42167</v>
      </c>
      <c r="I91" s="18">
        <v>3700</v>
      </c>
      <c r="J91" s="19">
        <v>2.56</v>
      </c>
      <c r="K91" s="16" t="s">
        <v>78</v>
      </c>
      <c r="L91" s="16" t="s">
        <v>542</v>
      </c>
      <c r="M91" s="16" t="s">
        <v>543</v>
      </c>
      <c r="N91" s="16" t="s">
        <v>544</v>
      </c>
    </row>
    <row r="92" spans="1:14" ht="20.100000000000001" customHeight="1" x14ac:dyDescent="0.25">
      <c r="A92" s="15" t="s">
        <v>545</v>
      </c>
      <c r="B92" s="16" t="s">
        <v>66</v>
      </c>
      <c r="C92" s="15">
        <v>8402391</v>
      </c>
      <c r="D92" s="16" t="s">
        <v>227</v>
      </c>
      <c r="E92" s="15" t="s">
        <v>228</v>
      </c>
      <c r="F92" s="21" t="str">
        <f>HYPERLINK("https://psearch.kitsapgov.com/webappa/index.html?parcelID=1919349&amp;Theme=Imagery","1919349")</f>
        <v>1919349</v>
      </c>
      <c r="G92" s="16" t="s">
        <v>229</v>
      </c>
      <c r="H92" s="17">
        <v>42168</v>
      </c>
      <c r="I92" s="18">
        <v>3440</v>
      </c>
      <c r="J92" s="19">
        <v>2.37</v>
      </c>
      <c r="K92" s="16" t="s">
        <v>61</v>
      </c>
      <c r="L92" s="16" t="s">
        <v>542</v>
      </c>
      <c r="M92" s="16" t="s">
        <v>546</v>
      </c>
      <c r="N92" s="16" t="s">
        <v>544</v>
      </c>
    </row>
    <row r="93" spans="1:14" ht="20.100000000000001" customHeight="1" x14ac:dyDescent="0.25">
      <c r="A93" s="15" t="s">
        <v>547</v>
      </c>
      <c r="B93" s="16" t="s">
        <v>49</v>
      </c>
      <c r="C93" s="15">
        <v>9400207</v>
      </c>
      <c r="D93" s="16" t="s">
        <v>548</v>
      </c>
      <c r="E93" s="15" t="s">
        <v>549</v>
      </c>
      <c r="F93" s="21" t="str">
        <f>HYPERLINK("https://psearch.kitsapgov.com/webappa/index.html?parcelID=1374024&amp;Theme=Imagery","1374024")</f>
        <v>1374024</v>
      </c>
      <c r="G93" s="16" t="s">
        <v>550</v>
      </c>
      <c r="H93" s="17">
        <v>42184</v>
      </c>
      <c r="I93" s="18">
        <v>260000</v>
      </c>
      <c r="J93" s="19">
        <v>2.2999999999999998</v>
      </c>
      <c r="K93" s="16" t="s">
        <v>194</v>
      </c>
      <c r="L93" s="16" t="s">
        <v>38</v>
      </c>
      <c r="M93" s="16" t="s">
        <v>551</v>
      </c>
      <c r="N93" s="16" t="s">
        <v>552</v>
      </c>
    </row>
    <row r="94" spans="1:14" ht="20.100000000000001" customHeight="1" x14ac:dyDescent="0.25">
      <c r="A94" s="15" t="s">
        <v>553</v>
      </c>
      <c r="B94" s="16" t="s">
        <v>57</v>
      </c>
      <c r="C94" s="15">
        <v>8402391</v>
      </c>
      <c r="D94" s="16" t="s">
        <v>227</v>
      </c>
      <c r="E94" s="15" t="s">
        <v>554</v>
      </c>
      <c r="F94" s="21" t="str">
        <f>HYPERLINK("https://psearch.kitsapgov.com/webappa/index.html?parcelID=2589760&amp;Theme=Imagery","2589760")</f>
        <v>2589760</v>
      </c>
      <c r="G94" s="16" t="s">
        <v>555</v>
      </c>
      <c r="H94" s="17">
        <v>42184</v>
      </c>
      <c r="I94" s="18">
        <v>188400</v>
      </c>
      <c r="J94" s="19">
        <v>3.18</v>
      </c>
      <c r="K94" s="16" t="s">
        <v>556</v>
      </c>
      <c r="L94" s="16" t="s">
        <v>38</v>
      </c>
      <c r="M94" s="16" t="s">
        <v>557</v>
      </c>
      <c r="N94" s="16" t="s">
        <v>558</v>
      </c>
    </row>
    <row r="95" spans="1:14" ht="20.100000000000001" customHeight="1" x14ac:dyDescent="0.25">
      <c r="A95" s="15" t="s">
        <v>559</v>
      </c>
      <c r="B95" s="16" t="s">
        <v>57</v>
      </c>
      <c r="C95" s="15">
        <v>8402391</v>
      </c>
      <c r="D95" s="16" t="s">
        <v>227</v>
      </c>
      <c r="E95" s="15" t="s">
        <v>560</v>
      </c>
      <c r="F95" s="21" t="str">
        <f>HYPERLINK("https://psearch.kitsapgov.com/webappa/index.html?parcelID=2068682&amp;Theme=Imagery","2068682")</f>
        <v>2068682</v>
      </c>
      <c r="G95" s="16" t="s">
        <v>561</v>
      </c>
      <c r="H95" s="17">
        <v>42178</v>
      </c>
      <c r="I95" s="18">
        <v>214000</v>
      </c>
      <c r="J95" s="19">
        <v>5.25</v>
      </c>
      <c r="K95" s="16" t="s">
        <v>556</v>
      </c>
      <c r="L95" s="16" t="s">
        <v>20</v>
      </c>
      <c r="M95" s="16" t="s">
        <v>562</v>
      </c>
      <c r="N95" s="16" t="s">
        <v>563</v>
      </c>
    </row>
    <row r="96" spans="1:14" ht="20.100000000000001" customHeight="1" x14ac:dyDescent="0.25">
      <c r="A96" s="15" t="s">
        <v>564</v>
      </c>
      <c r="B96" s="16" t="s">
        <v>96</v>
      </c>
      <c r="C96" s="15">
        <v>8401101</v>
      </c>
      <c r="D96" s="16" t="s">
        <v>185</v>
      </c>
      <c r="E96" s="15" t="s">
        <v>565</v>
      </c>
      <c r="F96" s="21" t="str">
        <f>HYPERLINK("https://psearch.kitsapgov.com/webappa/index.html?parcelID=1250042&amp;Theme=Imagery","1250042")</f>
        <v>1250042</v>
      </c>
      <c r="G96" s="16" t="s">
        <v>566</v>
      </c>
      <c r="H96" s="17">
        <v>42181</v>
      </c>
      <c r="I96" s="18">
        <v>250000</v>
      </c>
      <c r="J96" s="19">
        <v>0.66</v>
      </c>
      <c r="K96" s="16" t="s">
        <v>188</v>
      </c>
      <c r="L96" s="16" t="s">
        <v>174</v>
      </c>
      <c r="M96" s="16" t="s">
        <v>567</v>
      </c>
      <c r="N96" s="16" t="s">
        <v>568</v>
      </c>
    </row>
    <row r="97" spans="1:14" ht="20.100000000000001" customHeight="1" x14ac:dyDescent="0.25">
      <c r="A97" s="15" t="s">
        <v>569</v>
      </c>
      <c r="B97" s="16" t="s">
        <v>96</v>
      </c>
      <c r="C97" s="15">
        <v>8100502</v>
      </c>
      <c r="D97" s="16" t="s">
        <v>67</v>
      </c>
      <c r="E97" s="15" t="s">
        <v>570</v>
      </c>
      <c r="F97" s="21" t="str">
        <f>HYPERLINK("https://psearch.kitsapgov.com/webappa/index.html?parcelID=1966878&amp;Theme=Imagery","1966878")</f>
        <v>1966878</v>
      </c>
      <c r="G97" s="16" t="s">
        <v>571</v>
      </c>
      <c r="H97" s="17">
        <v>42184</v>
      </c>
      <c r="I97" s="18">
        <v>500000</v>
      </c>
      <c r="J97" s="19">
        <v>0.43</v>
      </c>
      <c r="K97" s="16" t="s">
        <v>85</v>
      </c>
      <c r="L97" s="16" t="s">
        <v>20</v>
      </c>
      <c r="M97" s="16" t="s">
        <v>572</v>
      </c>
      <c r="N97" s="16" t="s">
        <v>573</v>
      </c>
    </row>
    <row r="98" spans="1:14" ht="20.100000000000001" customHeight="1" x14ac:dyDescent="0.25">
      <c r="A98" s="15" t="s">
        <v>574</v>
      </c>
      <c r="B98" s="16" t="s">
        <v>104</v>
      </c>
      <c r="C98" s="15">
        <v>9100541</v>
      </c>
      <c r="D98" s="16" t="s">
        <v>215</v>
      </c>
      <c r="E98" s="15" t="s">
        <v>575</v>
      </c>
      <c r="F98" s="21" t="str">
        <f>HYPERLINK("https://psearch.kitsapgov.com/webappa/index.html?parcelID=1454917&amp;Theme=Imagery","1454917")</f>
        <v>1454917</v>
      </c>
      <c r="G98" s="16" t="s">
        <v>576</v>
      </c>
      <c r="H98" s="17">
        <v>42159</v>
      </c>
      <c r="I98" s="18">
        <v>71637</v>
      </c>
      <c r="J98" s="19">
        <v>7.0000000000000007E-2</v>
      </c>
      <c r="L98" s="16" t="s">
        <v>246</v>
      </c>
      <c r="M98" s="16" t="s">
        <v>577</v>
      </c>
      <c r="N98" s="16" t="s">
        <v>578</v>
      </c>
    </row>
    <row r="99" spans="1:14" ht="20.100000000000001" customHeight="1" x14ac:dyDescent="0.25">
      <c r="A99" s="15" t="s">
        <v>579</v>
      </c>
      <c r="B99" s="16" t="s">
        <v>57</v>
      </c>
      <c r="C99" s="15">
        <v>9402395</v>
      </c>
      <c r="D99" s="16" t="s">
        <v>580</v>
      </c>
      <c r="E99" s="15" t="s">
        <v>581</v>
      </c>
      <c r="F99" s="21" t="str">
        <f>HYPERLINK("https://psearch.kitsapgov.com/webappa/index.html?parcelID=1737964&amp;Theme=Imagery","1737964")</f>
        <v>1737964</v>
      </c>
      <c r="G99" s="16" t="s">
        <v>582</v>
      </c>
      <c r="H99" s="17">
        <v>42186</v>
      </c>
      <c r="I99" s="18">
        <v>80000</v>
      </c>
      <c r="J99" s="19">
        <v>0.5</v>
      </c>
      <c r="K99" s="16" t="s">
        <v>583</v>
      </c>
      <c r="L99" s="16" t="s">
        <v>38</v>
      </c>
      <c r="M99" s="16" t="s">
        <v>584</v>
      </c>
      <c r="N99" s="16" t="s">
        <v>585</v>
      </c>
    </row>
    <row r="100" spans="1:14" ht="20.100000000000001" customHeight="1" x14ac:dyDescent="0.25">
      <c r="A100" s="15" t="s">
        <v>586</v>
      </c>
      <c r="B100" s="16" t="s">
        <v>526</v>
      </c>
      <c r="C100" s="15">
        <v>9100541</v>
      </c>
      <c r="D100" s="16" t="s">
        <v>215</v>
      </c>
      <c r="E100" s="15" t="s">
        <v>587</v>
      </c>
      <c r="F100" s="21" t="str">
        <f>HYPERLINK("https://psearch.kitsapgov.com/webappa/index.html?parcelID=1158443&amp;Theme=Imagery","1158443")</f>
        <v>1158443</v>
      </c>
      <c r="G100" s="16" t="s">
        <v>588</v>
      </c>
      <c r="H100" s="17">
        <v>42193</v>
      </c>
      <c r="I100" s="18">
        <v>165000</v>
      </c>
      <c r="J100" s="19">
        <v>0.51</v>
      </c>
      <c r="K100" s="16" t="s">
        <v>70</v>
      </c>
      <c r="L100" s="16" t="s">
        <v>38</v>
      </c>
      <c r="M100" s="16" t="s">
        <v>589</v>
      </c>
      <c r="N100" s="16" t="s">
        <v>590</v>
      </c>
    </row>
    <row r="101" spans="1:14" ht="20.100000000000001" customHeight="1" x14ac:dyDescent="0.25">
      <c r="A101" s="15" t="s">
        <v>591</v>
      </c>
      <c r="B101" s="16" t="s">
        <v>96</v>
      </c>
      <c r="C101" s="15">
        <v>8100506</v>
      </c>
      <c r="D101" s="16" t="s">
        <v>25</v>
      </c>
      <c r="E101" s="15" t="s">
        <v>592</v>
      </c>
      <c r="F101" s="21" t="str">
        <f>HYPERLINK("https://psearch.kitsapgov.com/webappa/index.html?parcelID=1106517&amp;Theme=Imagery","1106517")</f>
        <v>1106517</v>
      </c>
      <c r="G101" s="16" t="s">
        <v>593</v>
      </c>
      <c r="H101" s="17">
        <v>42195</v>
      </c>
      <c r="I101" s="18">
        <v>325000</v>
      </c>
      <c r="J101" s="19">
        <v>0.21</v>
      </c>
      <c r="K101" s="16" t="s">
        <v>28</v>
      </c>
      <c r="L101" s="16" t="s">
        <v>38</v>
      </c>
      <c r="M101" s="16" t="s">
        <v>594</v>
      </c>
      <c r="N101" s="16" t="s">
        <v>595</v>
      </c>
    </row>
    <row r="102" spans="1:14" ht="20.100000000000001" customHeight="1" x14ac:dyDescent="0.25">
      <c r="A102" s="15" t="s">
        <v>596</v>
      </c>
      <c r="B102" s="16" t="s">
        <v>124</v>
      </c>
      <c r="C102" s="15">
        <v>9100541</v>
      </c>
      <c r="D102" s="16" t="s">
        <v>215</v>
      </c>
      <c r="E102" s="15" t="s">
        <v>597</v>
      </c>
      <c r="F102" s="21" t="str">
        <f>HYPERLINK("https://psearch.kitsapgov.com/webappa/index.html?parcelID=1465020&amp;Theme=Imagery","1465020")</f>
        <v>1465020</v>
      </c>
      <c r="G102" s="16" t="s">
        <v>598</v>
      </c>
      <c r="H102" s="17">
        <v>42187</v>
      </c>
      <c r="I102" s="18">
        <v>167000</v>
      </c>
      <c r="J102" s="19">
        <v>0.27</v>
      </c>
      <c r="K102" s="16" t="s">
        <v>235</v>
      </c>
      <c r="L102" s="16" t="s">
        <v>38</v>
      </c>
      <c r="M102" s="16" t="s">
        <v>599</v>
      </c>
      <c r="N102" s="16" t="s">
        <v>600</v>
      </c>
    </row>
    <row r="103" spans="1:14" ht="20.100000000000001" customHeight="1" x14ac:dyDescent="0.25">
      <c r="A103" s="15" t="s">
        <v>601</v>
      </c>
      <c r="B103" s="16" t="s">
        <v>602</v>
      </c>
      <c r="C103" s="15">
        <v>8401101</v>
      </c>
      <c r="D103" s="16" t="s">
        <v>185</v>
      </c>
      <c r="E103" s="15" t="s">
        <v>603</v>
      </c>
      <c r="F103" s="21" t="str">
        <f>HYPERLINK("https://psearch.kitsapgov.com/webappa/index.html?parcelID=2270742&amp;Theme=Imagery","2270742")</f>
        <v>2270742</v>
      </c>
      <c r="G103" s="16" t="s">
        <v>604</v>
      </c>
      <c r="H103" s="17">
        <v>42193</v>
      </c>
      <c r="I103" s="18">
        <v>4999000</v>
      </c>
      <c r="J103" s="19">
        <v>0</v>
      </c>
      <c r="L103" s="16" t="s">
        <v>38</v>
      </c>
      <c r="M103" s="16" t="s">
        <v>605</v>
      </c>
      <c r="N103" s="16" t="s">
        <v>606</v>
      </c>
    </row>
    <row r="104" spans="1:14" ht="20.100000000000001" customHeight="1" x14ac:dyDescent="0.25">
      <c r="A104" s="15" t="s">
        <v>607</v>
      </c>
      <c r="B104" s="16" t="s">
        <v>286</v>
      </c>
      <c r="C104" s="15">
        <v>8400206</v>
      </c>
      <c r="D104" s="16" t="s">
        <v>287</v>
      </c>
      <c r="E104" s="15" t="s">
        <v>608</v>
      </c>
      <c r="F104" s="21" t="str">
        <f>HYPERLINK("https://psearch.kitsapgov.com/webappa/index.html?parcelID=2071801&amp;Theme=Imagery","2071801")</f>
        <v>2071801</v>
      </c>
      <c r="G104" s="16" t="s">
        <v>609</v>
      </c>
      <c r="H104" s="17">
        <v>42198</v>
      </c>
      <c r="I104" s="18">
        <v>10000</v>
      </c>
      <c r="J104" s="19">
        <v>0</v>
      </c>
      <c r="L104" s="16" t="s">
        <v>38</v>
      </c>
      <c r="M104" s="16" t="s">
        <v>610</v>
      </c>
      <c r="N104" s="16" t="s">
        <v>611</v>
      </c>
    </row>
    <row r="105" spans="1:14" ht="20.100000000000001" customHeight="1" x14ac:dyDescent="0.25">
      <c r="A105" s="15" t="s">
        <v>612</v>
      </c>
      <c r="B105" s="16" t="s">
        <v>124</v>
      </c>
      <c r="C105" s="15">
        <v>9401120</v>
      </c>
      <c r="D105" s="16" t="s">
        <v>125</v>
      </c>
      <c r="E105" s="15" t="s">
        <v>126</v>
      </c>
      <c r="F105" s="21" t="str">
        <f>HYPERLINK("https://psearch.kitsapgov.com/webappa/index.html?parcelID=1117316&amp;Theme=Imagery","1117316")</f>
        <v>1117316</v>
      </c>
      <c r="G105" s="16" t="s">
        <v>127</v>
      </c>
      <c r="H105" s="17">
        <v>42153</v>
      </c>
      <c r="I105" s="18">
        <v>274575</v>
      </c>
      <c r="J105" s="19">
        <v>0.34</v>
      </c>
      <c r="K105" s="16" t="s">
        <v>128</v>
      </c>
      <c r="L105" s="16" t="s">
        <v>38</v>
      </c>
      <c r="M105" s="16" t="s">
        <v>131</v>
      </c>
      <c r="N105" s="16" t="s">
        <v>613</v>
      </c>
    </row>
    <row r="106" spans="1:14" ht="20.100000000000001" customHeight="1" x14ac:dyDescent="0.25">
      <c r="A106" s="15" t="s">
        <v>614</v>
      </c>
      <c r="B106" s="16" t="s">
        <v>57</v>
      </c>
      <c r="C106" s="15">
        <v>8400302</v>
      </c>
      <c r="D106" s="16" t="s">
        <v>133</v>
      </c>
      <c r="E106" s="15" t="s">
        <v>615</v>
      </c>
      <c r="F106" s="21" t="str">
        <f>HYPERLINK("https://psearch.kitsapgov.com/webappa/index.html?parcelID=2587509&amp;Theme=Imagery","2587509")</f>
        <v>2587509</v>
      </c>
      <c r="G106" s="16" t="s">
        <v>616</v>
      </c>
      <c r="H106" s="17">
        <v>42202</v>
      </c>
      <c r="I106" s="18">
        <v>216000</v>
      </c>
      <c r="J106" s="19">
        <v>2.63</v>
      </c>
      <c r="K106" s="16" t="s">
        <v>136</v>
      </c>
      <c r="L106" s="16" t="s">
        <v>246</v>
      </c>
      <c r="M106" s="16" t="s">
        <v>617</v>
      </c>
      <c r="N106" s="16" t="s">
        <v>618</v>
      </c>
    </row>
    <row r="107" spans="1:14" ht="20.100000000000001" customHeight="1" x14ac:dyDescent="0.25">
      <c r="A107" s="15" t="s">
        <v>619</v>
      </c>
      <c r="B107" s="16" t="s">
        <v>57</v>
      </c>
      <c r="C107" s="15">
        <v>8400302</v>
      </c>
      <c r="D107" s="16" t="s">
        <v>133</v>
      </c>
      <c r="E107" s="15" t="s">
        <v>620</v>
      </c>
      <c r="F107" s="21" t="str">
        <f>HYPERLINK("https://psearch.kitsapgov.com/webappa/index.html?parcelID=2587491&amp;Theme=Imagery","2587491")</f>
        <v>2587491</v>
      </c>
      <c r="G107" s="16" t="s">
        <v>621</v>
      </c>
      <c r="H107" s="17">
        <v>42202</v>
      </c>
      <c r="I107" s="18">
        <v>9447</v>
      </c>
      <c r="J107" s="19">
        <v>8.3800000000000008</v>
      </c>
      <c r="K107" s="16" t="s">
        <v>136</v>
      </c>
      <c r="L107" s="16" t="s">
        <v>246</v>
      </c>
      <c r="M107" s="16" t="s">
        <v>622</v>
      </c>
      <c r="N107" s="16" t="s">
        <v>617</v>
      </c>
    </row>
    <row r="108" spans="1:14" ht="20.100000000000001" customHeight="1" x14ac:dyDescent="0.25">
      <c r="A108" s="15" t="s">
        <v>623</v>
      </c>
      <c r="B108" s="16" t="s">
        <v>66</v>
      </c>
      <c r="C108" s="15">
        <v>8400302</v>
      </c>
      <c r="D108" s="16" t="s">
        <v>133</v>
      </c>
      <c r="E108" s="15" t="s">
        <v>624</v>
      </c>
      <c r="F108" s="21" t="str">
        <f>HYPERLINK("https://psearch.kitsapgov.com/webappa/index.html?parcelID=2587517&amp;Theme=Imagery","2587517")</f>
        <v>2587517</v>
      </c>
      <c r="G108" s="16" t="s">
        <v>625</v>
      </c>
      <c r="H108" s="17">
        <v>42202</v>
      </c>
      <c r="I108" s="18">
        <v>216000</v>
      </c>
      <c r="J108" s="19">
        <v>2.63</v>
      </c>
      <c r="K108" s="16" t="s">
        <v>136</v>
      </c>
      <c r="L108" s="16" t="s">
        <v>246</v>
      </c>
      <c r="M108" s="16" t="s">
        <v>626</v>
      </c>
      <c r="N108" s="16" t="s">
        <v>617</v>
      </c>
    </row>
    <row r="109" spans="1:14" ht="20.100000000000001" customHeight="1" x14ac:dyDescent="0.25">
      <c r="A109" s="15" t="s">
        <v>627</v>
      </c>
      <c r="B109" s="16" t="s">
        <v>628</v>
      </c>
      <c r="C109" s="15">
        <v>9402401</v>
      </c>
      <c r="D109" s="16" t="s">
        <v>629</v>
      </c>
      <c r="E109" s="15" t="s">
        <v>630</v>
      </c>
      <c r="F109" s="21" t="str">
        <f>HYPERLINK("https://psearch.kitsapgov.com/webappa/index.html?parcelID=1676097&amp;Theme=Imagery","1676097")</f>
        <v>1676097</v>
      </c>
      <c r="G109" s="16" t="s">
        <v>631</v>
      </c>
      <c r="H109" s="17">
        <v>42186</v>
      </c>
      <c r="I109" s="18">
        <v>1500</v>
      </c>
      <c r="J109" s="19">
        <v>1.43</v>
      </c>
      <c r="K109" s="16" t="s">
        <v>128</v>
      </c>
      <c r="L109" s="16" t="s">
        <v>542</v>
      </c>
      <c r="M109" s="16" t="s">
        <v>632</v>
      </c>
      <c r="N109" s="16" t="s">
        <v>544</v>
      </c>
    </row>
    <row r="110" spans="1:14" ht="20.100000000000001" customHeight="1" x14ac:dyDescent="0.25">
      <c r="A110" s="15" t="s">
        <v>633</v>
      </c>
      <c r="B110" s="16" t="s">
        <v>124</v>
      </c>
      <c r="C110" s="15">
        <v>9100541</v>
      </c>
      <c r="D110" s="16" t="s">
        <v>215</v>
      </c>
      <c r="E110" s="15" t="s">
        <v>634</v>
      </c>
      <c r="F110" s="21" t="str">
        <f>HYPERLINK("https://psearch.kitsapgov.com/webappa/index.html?parcelID=1462274&amp;Theme=Imagery","1462274")</f>
        <v>1462274</v>
      </c>
      <c r="G110" s="16" t="s">
        <v>635</v>
      </c>
      <c r="H110" s="17">
        <v>42207</v>
      </c>
      <c r="I110" s="18">
        <v>165778</v>
      </c>
      <c r="J110" s="19">
        <v>7.0000000000000007E-2</v>
      </c>
      <c r="K110" s="16" t="s">
        <v>235</v>
      </c>
      <c r="L110" s="16" t="s">
        <v>129</v>
      </c>
      <c r="M110" s="16" t="s">
        <v>636</v>
      </c>
      <c r="N110" s="16" t="s">
        <v>637</v>
      </c>
    </row>
    <row r="111" spans="1:14" ht="20.100000000000001" customHeight="1" x14ac:dyDescent="0.25">
      <c r="A111" s="15" t="s">
        <v>638</v>
      </c>
      <c r="B111" s="16" t="s">
        <v>57</v>
      </c>
      <c r="C111" s="15">
        <v>9402390</v>
      </c>
      <c r="D111" s="16" t="s">
        <v>271</v>
      </c>
      <c r="E111" s="15" t="s">
        <v>639</v>
      </c>
      <c r="F111" s="21" t="str">
        <f>HYPERLINK("https://psearch.kitsapgov.com/webappa/index.html?parcelID=1040302&amp;Theme=Imagery","1040302")</f>
        <v>1040302</v>
      </c>
      <c r="G111" s="16" t="s">
        <v>640</v>
      </c>
      <c r="H111" s="17">
        <v>42207</v>
      </c>
      <c r="I111" s="18">
        <v>100000</v>
      </c>
      <c r="J111" s="19">
        <v>0.64</v>
      </c>
      <c r="K111" s="16" t="s">
        <v>154</v>
      </c>
      <c r="L111" s="16" t="s">
        <v>246</v>
      </c>
      <c r="M111" s="16" t="s">
        <v>641</v>
      </c>
      <c r="N111" s="16" t="s">
        <v>642</v>
      </c>
    </row>
    <row r="112" spans="1:14" ht="20.100000000000001" customHeight="1" x14ac:dyDescent="0.25">
      <c r="A112" s="15" t="s">
        <v>643</v>
      </c>
      <c r="B112" s="16" t="s">
        <v>89</v>
      </c>
      <c r="C112" s="15">
        <v>8402307</v>
      </c>
      <c r="D112" s="16" t="s">
        <v>151</v>
      </c>
      <c r="E112" s="15" t="s">
        <v>644</v>
      </c>
      <c r="F112" s="21" t="str">
        <f>HYPERLINK("https://psearch.kitsapgov.com/webappa/index.html?parcelID=2430957&amp;Theme=Imagery","2430957")</f>
        <v>2430957</v>
      </c>
      <c r="G112" s="16" t="s">
        <v>645</v>
      </c>
      <c r="H112" s="17">
        <v>42209</v>
      </c>
      <c r="I112" s="18">
        <v>630000</v>
      </c>
      <c r="J112" s="19">
        <v>0.19</v>
      </c>
      <c r="K112" s="16" t="s">
        <v>154</v>
      </c>
      <c r="L112" s="16" t="s">
        <v>38</v>
      </c>
      <c r="M112" s="16" t="s">
        <v>646</v>
      </c>
      <c r="N112" s="16" t="s">
        <v>647</v>
      </c>
    </row>
    <row r="113" spans="1:14" ht="20.100000000000001" customHeight="1" x14ac:dyDescent="0.25">
      <c r="A113" s="15" t="s">
        <v>648</v>
      </c>
      <c r="B113" s="16" t="s">
        <v>89</v>
      </c>
      <c r="C113" s="15">
        <v>8100510</v>
      </c>
      <c r="D113" s="16" t="s">
        <v>401</v>
      </c>
      <c r="E113" s="15" t="s">
        <v>649</v>
      </c>
      <c r="F113" s="21" t="str">
        <f>HYPERLINK("https://psearch.kitsapgov.com/webappa/index.html?parcelID=1438167&amp;Theme=Imagery","1438167")</f>
        <v>1438167</v>
      </c>
      <c r="G113" s="16" t="s">
        <v>650</v>
      </c>
      <c r="H113" s="17">
        <v>42207</v>
      </c>
      <c r="I113" s="18">
        <v>110000</v>
      </c>
      <c r="J113" s="19">
        <v>0.18</v>
      </c>
      <c r="K113" s="16" t="s">
        <v>28</v>
      </c>
      <c r="L113" s="16" t="s">
        <v>246</v>
      </c>
      <c r="M113" s="16" t="s">
        <v>651</v>
      </c>
      <c r="N113" s="16" t="s">
        <v>652</v>
      </c>
    </row>
    <row r="114" spans="1:14" ht="20.100000000000001" customHeight="1" x14ac:dyDescent="0.25">
      <c r="A114" s="15" t="s">
        <v>653</v>
      </c>
      <c r="B114" s="16" t="s">
        <v>57</v>
      </c>
      <c r="C114" s="15">
        <v>8401104</v>
      </c>
      <c r="D114" s="16" t="s">
        <v>144</v>
      </c>
      <c r="E114" s="15" t="s">
        <v>654</v>
      </c>
      <c r="F114" s="21" t="str">
        <f>HYPERLINK("https://psearch.kitsapgov.com/webappa/index.html?parcelID=1245257&amp;Theme=Imagery","1245257")</f>
        <v>1245257</v>
      </c>
      <c r="G114" s="16" t="s">
        <v>655</v>
      </c>
      <c r="H114" s="17">
        <v>42202</v>
      </c>
      <c r="I114" s="18">
        <v>180000</v>
      </c>
      <c r="J114" s="19">
        <v>1.05</v>
      </c>
      <c r="K114" s="16" t="s">
        <v>61</v>
      </c>
      <c r="L114" s="16" t="s">
        <v>20</v>
      </c>
      <c r="M114" s="16" t="s">
        <v>656</v>
      </c>
      <c r="N114" s="16" t="s">
        <v>657</v>
      </c>
    </row>
    <row r="115" spans="1:14" ht="20.100000000000001" customHeight="1" x14ac:dyDescent="0.25">
      <c r="A115" s="15" t="s">
        <v>658</v>
      </c>
      <c r="B115" s="16" t="s">
        <v>66</v>
      </c>
      <c r="C115" s="15">
        <v>8400302</v>
      </c>
      <c r="D115" s="16" t="s">
        <v>133</v>
      </c>
      <c r="E115" s="15" t="s">
        <v>659</v>
      </c>
      <c r="F115" s="21" t="str">
        <f>HYPERLINK("https://psearch.kitsapgov.com/webappa/index.html?parcelID=2365385&amp;Theme=Imagery","2365385")</f>
        <v>2365385</v>
      </c>
      <c r="G115" s="16" t="s">
        <v>660</v>
      </c>
      <c r="H115" s="17">
        <v>42212</v>
      </c>
      <c r="I115" s="18">
        <v>575000</v>
      </c>
      <c r="J115" s="19">
        <v>5.5</v>
      </c>
      <c r="K115" s="16" t="s">
        <v>136</v>
      </c>
      <c r="L115" s="16" t="s">
        <v>38</v>
      </c>
      <c r="M115" s="16" t="s">
        <v>661</v>
      </c>
      <c r="N115" s="16" t="s">
        <v>662</v>
      </c>
    </row>
    <row r="116" spans="1:14" ht="20.100000000000001" customHeight="1" x14ac:dyDescent="0.25">
      <c r="A116" s="15" t="s">
        <v>663</v>
      </c>
      <c r="B116" s="16" t="s">
        <v>104</v>
      </c>
      <c r="C116" s="15">
        <v>9401141</v>
      </c>
      <c r="D116" s="16" t="s">
        <v>664</v>
      </c>
      <c r="E116" s="15" t="s">
        <v>665</v>
      </c>
      <c r="F116" s="21" t="str">
        <f>HYPERLINK("https://psearch.kitsapgov.com/webappa/index.html?parcelID=2009405&amp;Theme=Imagery","2009405")</f>
        <v>2009405</v>
      </c>
      <c r="G116" s="16" t="s">
        <v>666</v>
      </c>
      <c r="H116" s="17">
        <v>42177</v>
      </c>
      <c r="I116" s="18">
        <v>589000</v>
      </c>
      <c r="J116" s="19">
        <v>0.52</v>
      </c>
      <c r="K116" s="16" t="s">
        <v>128</v>
      </c>
      <c r="L116" s="16" t="s">
        <v>38</v>
      </c>
      <c r="M116" s="16" t="s">
        <v>667</v>
      </c>
      <c r="N116" s="16" t="s">
        <v>668</v>
      </c>
    </row>
    <row r="117" spans="1:14" ht="20.100000000000001" customHeight="1" x14ac:dyDescent="0.25">
      <c r="A117" s="15" t="s">
        <v>669</v>
      </c>
      <c r="B117" s="16" t="s">
        <v>239</v>
      </c>
      <c r="C117" s="15">
        <v>8402308</v>
      </c>
      <c r="D117" s="16" t="s">
        <v>75</v>
      </c>
      <c r="E117" s="15" t="s">
        <v>670</v>
      </c>
      <c r="F117" s="21" t="str">
        <f>HYPERLINK("https://psearch.kitsapgov.com/webappa/index.html?parcelID=1690478&amp;Theme=Imagery","1690478")</f>
        <v>1690478</v>
      </c>
      <c r="G117" s="16" t="s">
        <v>671</v>
      </c>
      <c r="H117" s="17">
        <v>42212</v>
      </c>
      <c r="I117" s="18">
        <v>600000</v>
      </c>
      <c r="J117" s="19">
        <v>1.29</v>
      </c>
      <c r="K117" s="16" t="s">
        <v>672</v>
      </c>
      <c r="L117" s="16" t="s">
        <v>38</v>
      </c>
      <c r="M117" s="16" t="s">
        <v>673</v>
      </c>
      <c r="N117" s="16" t="s">
        <v>674</v>
      </c>
    </row>
    <row r="118" spans="1:14" ht="20.100000000000001" customHeight="1" x14ac:dyDescent="0.25">
      <c r="A118" s="15" t="s">
        <v>675</v>
      </c>
      <c r="B118" s="16" t="s">
        <v>676</v>
      </c>
      <c r="C118" s="15">
        <v>9303601</v>
      </c>
      <c r="D118" s="16" t="s">
        <v>527</v>
      </c>
      <c r="E118" s="15" t="s">
        <v>677</v>
      </c>
      <c r="F118" s="21" t="str">
        <f>HYPERLINK("https://psearch.kitsapgov.com/webappa/index.html?parcelID=2591972&amp;Theme=Imagery","2591972")</f>
        <v>2591972</v>
      </c>
      <c r="G118" s="16" t="s">
        <v>678</v>
      </c>
      <c r="H118" s="17">
        <v>42209</v>
      </c>
      <c r="I118" s="18">
        <v>225000</v>
      </c>
      <c r="J118" s="19">
        <v>4.38</v>
      </c>
      <c r="K118" s="16" t="s">
        <v>679</v>
      </c>
      <c r="L118" s="16" t="s">
        <v>680</v>
      </c>
      <c r="M118" s="16" t="s">
        <v>681</v>
      </c>
      <c r="N118" s="16" t="s">
        <v>682</v>
      </c>
    </row>
    <row r="119" spans="1:14" ht="20.100000000000001" customHeight="1" x14ac:dyDescent="0.25">
      <c r="A119" s="15" t="s">
        <v>683</v>
      </c>
      <c r="B119" s="16" t="s">
        <v>66</v>
      </c>
      <c r="C119" s="15">
        <v>9401120</v>
      </c>
      <c r="D119" s="16" t="s">
        <v>125</v>
      </c>
      <c r="E119" s="15" t="s">
        <v>684</v>
      </c>
      <c r="F119" s="21" t="str">
        <f>HYPERLINK("https://psearch.kitsapgov.com/webappa/index.html?parcelID=1124940&amp;Theme=Imagery","1124940")</f>
        <v>1124940</v>
      </c>
      <c r="G119" s="16" t="s">
        <v>685</v>
      </c>
      <c r="H119" s="17">
        <v>42215</v>
      </c>
      <c r="I119" s="18">
        <v>370000</v>
      </c>
      <c r="J119" s="19">
        <v>0.9</v>
      </c>
      <c r="K119" s="16" t="s">
        <v>128</v>
      </c>
      <c r="L119" s="16" t="s">
        <v>79</v>
      </c>
      <c r="M119" s="16" t="s">
        <v>148</v>
      </c>
      <c r="N119" s="16" t="s">
        <v>686</v>
      </c>
    </row>
    <row r="120" spans="1:14" ht="20.100000000000001" customHeight="1" x14ac:dyDescent="0.25">
      <c r="A120" s="15" t="s">
        <v>687</v>
      </c>
      <c r="B120" s="16" t="s">
        <v>688</v>
      </c>
      <c r="C120" s="15">
        <v>8401101</v>
      </c>
      <c r="D120" s="16" t="s">
        <v>185</v>
      </c>
      <c r="E120" s="15" t="s">
        <v>689</v>
      </c>
      <c r="F120" s="21" t="str">
        <f>HYPERLINK("https://psearch.kitsapgov.com/webappa/index.html?parcelID=1238401&amp;Theme=Imagery","1238401")</f>
        <v>1238401</v>
      </c>
      <c r="G120" s="16" t="s">
        <v>690</v>
      </c>
      <c r="H120" s="17">
        <v>42158</v>
      </c>
      <c r="I120" s="18">
        <v>1369300</v>
      </c>
      <c r="J120" s="19">
        <v>0.71</v>
      </c>
      <c r="K120" s="16" t="s">
        <v>188</v>
      </c>
      <c r="L120" s="16" t="s">
        <v>38</v>
      </c>
      <c r="M120" s="16" t="s">
        <v>691</v>
      </c>
      <c r="N120" s="16" t="s">
        <v>692</v>
      </c>
    </row>
    <row r="121" spans="1:14" ht="20.100000000000001" customHeight="1" x14ac:dyDescent="0.25">
      <c r="A121" s="15" t="s">
        <v>693</v>
      </c>
      <c r="B121" s="16" t="s">
        <v>286</v>
      </c>
      <c r="C121" s="15">
        <v>8303660</v>
      </c>
      <c r="D121" s="16" t="s">
        <v>313</v>
      </c>
      <c r="E121" s="15" t="s">
        <v>694</v>
      </c>
      <c r="F121" s="21" t="str">
        <f>HYPERLINK("https://psearch.kitsapgov.com/webappa/index.html?parcelID=1882463&amp;Theme=Imagery","1882463")</f>
        <v>1882463</v>
      </c>
      <c r="G121" s="16" t="s">
        <v>695</v>
      </c>
      <c r="H121" s="17">
        <v>42217</v>
      </c>
      <c r="I121" s="18">
        <v>52000</v>
      </c>
      <c r="J121" s="19">
        <v>0</v>
      </c>
      <c r="L121" s="16" t="s">
        <v>290</v>
      </c>
      <c r="M121" s="16" t="s">
        <v>696</v>
      </c>
      <c r="N121" s="16" t="s">
        <v>697</v>
      </c>
    </row>
    <row r="122" spans="1:14" ht="20.100000000000001" customHeight="1" x14ac:dyDescent="0.25">
      <c r="A122" s="15" t="s">
        <v>698</v>
      </c>
      <c r="B122" s="16" t="s">
        <v>124</v>
      </c>
      <c r="C122" s="15">
        <v>9100541</v>
      </c>
      <c r="D122" s="16" t="s">
        <v>215</v>
      </c>
      <c r="E122" s="15" t="s">
        <v>699</v>
      </c>
      <c r="F122" s="21" t="str">
        <f>HYPERLINK("https://psearch.kitsapgov.com/webappa/index.html?parcelID=1425552&amp;Theme=Imagery","1425552")</f>
        <v>1425552</v>
      </c>
      <c r="G122" s="16" t="s">
        <v>700</v>
      </c>
      <c r="H122" s="17">
        <v>42219</v>
      </c>
      <c r="I122" s="18">
        <v>320000</v>
      </c>
      <c r="J122" s="19">
        <v>0.15</v>
      </c>
      <c r="K122" s="16" t="s">
        <v>235</v>
      </c>
      <c r="L122" s="16" t="s">
        <v>38</v>
      </c>
      <c r="M122" s="16" t="s">
        <v>701</v>
      </c>
      <c r="N122" s="16" t="s">
        <v>702</v>
      </c>
    </row>
    <row r="123" spans="1:14" ht="20.100000000000001" customHeight="1" x14ac:dyDescent="0.25">
      <c r="A123" s="15" t="s">
        <v>703</v>
      </c>
      <c r="B123" s="16" t="s">
        <v>704</v>
      </c>
      <c r="C123" s="15">
        <v>9401592</v>
      </c>
      <c r="D123" s="16" t="s">
        <v>705</v>
      </c>
      <c r="E123" s="15" t="s">
        <v>706</v>
      </c>
      <c r="F123" s="21" t="str">
        <f>HYPERLINK("https://psearch.kitsapgov.com/webappa/index.html?parcelID=2128627&amp;Theme=Imagery","2128627")</f>
        <v>2128627</v>
      </c>
      <c r="G123" s="16" t="s">
        <v>707</v>
      </c>
      <c r="H123" s="17">
        <v>42208</v>
      </c>
      <c r="I123" s="18">
        <v>4150</v>
      </c>
      <c r="J123" s="19">
        <v>22.5</v>
      </c>
      <c r="K123" s="16" t="s">
        <v>708</v>
      </c>
      <c r="L123" s="16" t="s">
        <v>542</v>
      </c>
      <c r="M123" s="16" t="s">
        <v>709</v>
      </c>
      <c r="N123" s="16" t="s">
        <v>710</v>
      </c>
    </row>
    <row r="124" spans="1:14" ht="20.100000000000001" customHeight="1" x14ac:dyDescent="0.25">
      <c r="A124" s="15" t="s">
        <v>711</v>
      </c>
      <c r="B124" s="16" t="s">
        <v>66</v>
      </c>
      <c r="C124" s="15">
        <v>8400302</v>
      </c>
      <c r="D124" s="16" t="s">
        <v>133</v>
      </c>
      <c r="E124" s="15" t="s">
        <v>712</v>
      </c>
      <c r="F124" s="21" t="str">
        <f>HYPERLINK("https://psearch.kitsapgov.com/webappa/index.html?parcelID=1408566&amp;Theme=Imagery","1408566")</f>
        <v>1408566</v>
      </c>
      <c r="G124" s="16" t="s">
        <v>713</v>
      </c>
      <c r="H124" s="17">
        <v>42220</v>
      </c>
      <c r="I124" s="18">
        <v>470000</v>
      </c>
      <c r="J124" s="19">
        <v>1.23</v>
      </c>
      <c r="K124" s="16" t="s">
        <v>136</v>
      </c>
      <c r="L124" s="16" t="s">
        <v>38</v>
      </c>
      <c r="M124" s="16" t="s">
        <v>714</v>
      </c>
      <c r="N124" s="16" t="s">
        <v>715</v>
      </c>
    </row>
    <row r="125" spans="1:14" ht="20.100000000000001" customHeight="1" x14ac:dyDescent="0.25">
      <c r="A125" s="15" t="s">
        <v>716</v>
      </c>
      <c r="B125" s="16" t="s">
        <v>33</v>
      </c>
      <c r="C125" s="15">
        <v>8100501</v>
      </c>
      <c r="D125" s="16" t="s">
        <v>117</v>
      </c>
      <c r="E125" s="15" t="s">
        <v>717</v>
      </c>
      <c r="F125" s="21" t="str">
        <f>HYPERLINK("https://psearch.kitsapgov.com/webappa/index.html?parcelID=2537504&amp;Theme=Imagery","2537504")</f>
        <v>2537504</v>
      </c>
      <c r="G125" s="16" t="s">
        <v>718</v>
      </c>
      <c r="H125" s="17">
        <v>42219</v>
      </c>
      <c r="I125" s="18">
        <v>85500</v>
      </c>
      <c r="J125" s="19">
        <v>0.1</v>
      </c>
      <c r="K125" s="16" t="s">
        <v>120</v>
      </c>
      <c r="L125" s="16" t="s">
        <v>719</v>
      </c>
      <c r="M125" s="16" t="s">
        <v>415</v>
      </c>
      <c r="N125" s="16" t="s">
        <v>720</v>
      </c>
    </row>
    <row r="126" spans="1:14" ht="20.100000000000001" customHeight="1" x14ac:dyDescent="0.25">
      <c r="A126" s="15" t="s">
        <v>721</v>
      </c>
      <c r="B126" s="16" t="s">
        <v>347</v>
      </c>
      <c r="C126" s="15">
        <v>8402307</v>
      </c>
      <c r="D126" s="16" t="s">
        <v>151</v>
      </c>
      <c r="E126" s="15" t="s">
        <v>722</v>
      </c>
      <c r="F126" s="21" t="str">
        <f>HYPERLINK("https://psearch.kitsapgov.com/webappa/index.html?parcelID=2507283&amp;Theme=Imagery","2507283")</f>
        <v>2507283</v>
      </c>
      <c r="G126" s="16" t="s">
        <v>723</v>
      </c>
      <c r="H126" s="17">
        <v>42220</v>
      </c>
      <c r="I126" s="18">
        <v>735100</v>
      </c>
      <c r="J126" s="19">
        <v>2.5099999999999998</v>
      </c>
      <c r="K126" s="16" t="s">
        <v>333</v>
      </c>
      <c r="L126" s="16" t="s">
        <v>29</v>
      </c>
      <c r="M126" s="16" t="s">
        <v>724</v>
      </c>
      <c r="N126" s="16" t="s">
        <v>725</v>
      </c>
    </row>
    <row r="127" spans="1:14" ht="20.100000000000001" customHeight="1" x14ac:dyDescent="0.25">
      <c r="A127" s="15" t="s">
        <v>726</v>
      </c>
      <c r="B127" s="16" t="s">
        <v>57</v>
      </c>
      <c r="C127" s="15">
        <v>8400204</v>
      </c>
      <c r="D127" s="16" t="s">
        <v>178</v>
      </c>
      <c r="E127" s="15" t="s">
        <v>727</v>
      </c>
      <c r="F127" s="21" t="str">
        <f>HYPERLINK("https://psearch.kitsapgov.com/webappa/index.html?parcelID=2456408&amp;Theme=Imagery","2456408")</f>
        <v>2456408</v>
      </c>
      <c r="G127" s="16" t="s">
        <v>728</v>
      </c>
      <c r="H127" s="17">
        <v>42223</v>
      </c>
      <c r="I127" s="18">
        <v>400000</v>
      </c>
      <c r="J127" s="19">
        <v>0.83</v>
      </c>
      <c r="K127" s="16" t="s">
        <v>181</v>
      </c>
      <c r="L127" s="16" t="s">
        <v>38</v>
      </c>
      <c r="M127" s="16" t="s">
        <v>729</v>
      </c>
      <c r="N127" s="16" t="s">
        <v>730</v>
      </c>
    </row>
    <row r="128" spans="1:14" ht="20.100000000000001" customHeight="1" x14ac:dyDescent="0.25">
      <c r="A128" s="15" t="s">
        <v>731</v>
      </c>
      <c r="B128" s="16" t="s">
        <v>66</v>
      </c>
      <c r="C128" s="15">
        <v>8400204</v>
      </c>
      <c r="D128" s="16" t="s">
        <v>178</v>
      </c>
      <c r="E128" s="15" t="s">
        <v>732</v>
      </c>
      <c r="F128" s="21" t="str">
        <f>HYPERLINK("https://psearch.kitsapgov.com/webappa/index.html?parcelID=2456390&amp;Theme=Imagery","2456390")</f>
        <v>2456390</v>
      </c>
      <c r="G128" s="16" t="s">
        <v>733</v>
      </c>
      <c r="H128" s="17">
        <v>42227</v>
      </c>
      <c r="I128" s="18">
        <v>2232000</v>
      </c>
      <c r="J128" s="19">
        <v>0.9</v>
      </c>
      <c r="K128" s="16" t="s">
        <v>181</v>
      </c>
      <c r="L128" s="16" t="s">
        <v>38</v>
      </c>
      <c r="M128" s="16" t="s">
        <v>734</v>
      </c>
      <c r="N128" s="16" t="s">
        <v>730</v>
      </c>
    </row>
    <row r="129" spans="1:14" ht="20.100000000000001" customHeight="1" x14ac:dyDescent="0.25">
      <c r="A129" s="15" t="s">
        <v>735</v>
      </c>
      <c r="B129" s="16" t="s">
        <v>628</v>
      </c>
      <c r="C129" s="15">
        <v>8100502</v>
      </c>
      <c r="D129" s="16" t="s">
        <v>67</v>
      </c>
      <c r="E129" s="15" t="s">
        <v>736</v>
      </c>
      <c r="F129" s="21" t="str">
        <f>HYPERLINK("https://psearch.kitsapgov.com/webappa/index.html?parcelID=1146786&amp;Theme=Imagery","1146786")</f>
        <v>1146786</v>
      </c>
      <c r="G129" s="16" t="s">
        <v>737</v>
      </c>
      <c r="H129" s="17">
        <v>42219</v>
      </c>
      <c r="I129" s="18">
        <v>245000</v>
      </c>
      <c r="J129" s="19">
        <v>0.45</v>
      </c>
      <c r="K129" s="16" t="s">
        <v>85</v>
      </c>
      <c r="L129" s="16" t="s">
        <v>38</v>
      </c>
      <c r="M129" s="16" t="s">
        <v>738</v>
      </c>
      <c r="N129" s="16" t="s">
        <v>739</v>
      </c>
    </row>
    <row r="130" spans="1:14" ht="20.100000000000001" customHeight="1" x14ac:dyDescent="0.25">
      <c r="A130" s="15" t="s">
        <v>740</v>
      </c>
      <c r="B130" s="16" t="s">
        <v>96</v>
      </c>
      <c r="C130" s="15">
        <v>8100501</v>
      </c>
      <c r="D130" s="16" t="s">
        <v>117</v>
      </c>
      <c r="E130" s="15" t="s">
        <v>741</v>
      </c>
      <c r="F130" s="21" t="str">
        <f>HYPERLINK("https://psearch.kitsapgov.com/webappa/index.html?parcelID=1426600&amp;Theme=Imagery","1426600")</f>
        <v>1426600</v>
      </c>
      <c r="G130" s="16" t="s">
        <v>742</v>
      </c>
      <c r="H130" s="17">
        <v>42229</v>
      </c>
      <c r="I130" s="18">
        <v>250000</v>
      </c>
      <c r="J130" s="19">
        <v>0.14000000000000001</v>
      </c>
      <c r="K130" s="16" t="s">
        <v>120</v>
      </c>
      <c r="L130" s="16" t="s">
        <v>743</v>
      </c>
      <c r="M130" s="16" t="s">
        <v>744</v>
      </c>
      <c r="N130" s="16" t="s">
        <v>745</v>
      </c>
    </row>
    <row r="131" spans="1:14" ht="20.100000000000001" customHeight="1" x14ac:dyDescent="0.25">
      <c r="A131" s="15" t="s">
        <v>746</v>
      </c>
      <c r="B131" s="16" t="s">
        <v>89</v>
      </c>
      <c r="C131" s="15">
        <v>8100510</v>
      </c>
      <c r="D131" s="16" t="s">
        <v>401</v>
      </c>
      <c r="E131" s="15" t="s">
        <v>747</v>
      </c>
      <c r="F131" s="21" t="str">
        <f>HYPERLINK("https://psearch.kitsapgov.com/webappa/index.html?parcelID=1438126&amp;Theme=Imagery","1438126")</f>
        <v>1438126</v>
      </c>
      <c r="G131" s="16" t="s">
        <v>748</v>
      </c>
      <c r="H131" s="17">
        <v>42235</v>
      </c>
      <c r="I131" s="18">
        <v>130000</v>
      </c>
      <c r="J131" s="19">
        <v>0.1</v>
      </c>
      <c r="K131" s="16" t="s">
        <v>28</v>
      </c>
      <c r="L131" s="16" t="s">
        <v>79</v>
      </c>
      <c r="M131" s="16" t="s">
        <v>749</v>
      </c>
      <c r="N131" s="16" t="s">
        <v>750</v>
      </c>
    </row>
    <row r="132" spans="1:14" ht="20.100000000000001" customHeight="1" x14ac:dyDescent="0.25">
      <c r="A132" s="15" t="s">
        <v>751</v>
      </c>
      <c r="B132" s="16" t="s">
        <v>49</v>
      </c>
      <c r="C132" s="15">
        <v>9401120</v>
      </c>
      <c r="D132" s="16" t="s">
        <v>125</v>
      </c>
      <c r="E132" s="15" t="s">
        <v>752</v>
      </c>
      <c r="F132" s="21" t="str">
        <f>HYPERLINK("https://psearch.kitsapgov.com/webappa/index.html?parcelID=2113801&amp;Theme=Imagery","2113801")</f>
        <v>2113801</v>
      </c>
      <c r="G132" s="16" t="s">
        <v>193</v>
      </c>
      <c r="H132" s="17">
        <v>42235</v>
      </c>
      <c r="I132" s="18">
        <v>140000</v>
      </c>
      <c r="J132" s="19">
        <v>0.46</v>
      </c>
      <c r="K132" s="16" t="s">
        <v>194</v>
      </c>
      <c r="L132" s="16" t="s">
        <v>38</v>
      </c>
      <c r="M132" s="16" t="s">
        <v>753</v>
      </c>
      <c r="N132" s="16" t="s">
        <v>754</v>
      </c>
    </row>
    <row r="133" spans="1:14" ht="20.100000000000001" customHeight="1" x14ac:dyDescent="0.25">
      <c r="A133" s="15" t="s">
        <v>755</v>
      </c>
      <c r="B133" s="16" t="s">
        <v>442</v>
      </c>
      <c r="C133" s="15">
        <v>8401101</v>
      </c>
      <c r="D133" s="16" t="s">
        <v>185</v>
      </c>
      <c r="E133" s="15" t="s">
        <v>756</v>
      </c>
      <c r="F133" s="21" t="str">
        <f>HYPERLINK("https://psearch.kitsapgov.com/webappa/index.html?parcelID=1941376&amp;Theme=Imagery","1941376")</f>
        <v>1941376</v>
      </c>
      <c r="G133" s="16" t="s">
        <v>757</v>
      </c>
      <c r="H133" s="17">
        <v>42235</v>
      </c>
      <c r="I133" s="18">
        <v>845000</v>
      </c>
      <c r="J133" s="19">
        <v>0.47</v>
      </c>
      <c r="K133" s="16" t="s">
        <v>188</v>
      </c>
      <c r="L133" s="16" t="s">
        <v>38</v>
      </c>
      <c r="M133" s="16" t="s">
        <v>758</v>
      </c>
      <c r="N133" s="16" t="s">
        <v>759</v>
      </c>
    </row>
    <row r="134" spans="1:14" ht="20.100000000000001" customHeight="1" x14ac:dyDescent="0.25">
      <c r="A134" s="15" t="s">
        <v>760</v>
      </c>
      <c r="B134" s="16" t="s">
        <v>57</v>
      </c>
      <c r="C134" s="15">
        <v>8402308</v>
      </c>
      <c r="D134" s="16" t="s">
        <v>75</v>
      </c>
      <c r="E134" s="15" t="s">
        <v>761</v>
      </c>
      <c r="F134" s="21" t="str">
        <f>HYPERLINK("https://psearch.kitsapgov.com/webappa/index.html?parcelID=1915685&amp;Theme=Imagery","1915685")</f>
        <v>1915685</v>
      </c>
      <c r="G134" s="16" t="s">
        <v>762</v>
      </c>
      <c r="H134" s="17">
        <v>42192</v>
      </c>
      <c r="I134" s="18">
        <v>28000</v>
      </c>
      <c r="J134" s="19">
        <v>0.4</v>
      </c>
      <c r="K134" s="16" t="s">
        <v>78</v>
      </c>
      <c r="L134" s="16" t="s">
        <v>372</v>
      </c>
      <c r="M134" s="16" t="s">
        <v>763</v>
      </c>
      <c r="N134" s="16" t="s">
        <v>764</v>
      </c>
    </row>
    <row r="135" spans="1:14" ht="20.100000000000001" customHeight="1" x14ac:dyDescent="0.25">
      <c r="A135" s="15" t="s">
        <v>765</v>
      </c>
      <c r="B135" s="16" t="s">
        <v>96</v>
      </c>
      <c r="C135" s="15">
        <v>8401102</v>
      </c>
      <c r="D135" s="16" t="s">
        <v>766</v>
      </c>
      <c r="E135" s="15" t="s">
        <v>767</v>
      </c>
      <c r="F135" s="21" t="str">
        <f>HYPERLINK("https://psearch.kitsapgov.com/webappa/index.html?parcelID=1245711&amp;Theme=Imagery","1245711")</f>
        <v>1245711</v>
      </c>
      <c r="G135" s="16" t="s">
        <v>768</v>
      </c>
      <c r="H135" s="17">
        <v>42240</v>
      </c>
      <c r="I135" s="18">
        <v>350000</v>
      </c>
      <c r="J135" s="19">
        <v>0.23</v>
      </c>
      <c r="K135" s="16" t="s">
        <v>188</v>
      </c>
      <c r="L135" s="16" t="s">
        <v>20</v>
      </c>
      <c r="M135" s="16" t="s">
        <v>769</v>
      </c>
      <c r="N135" s="16" t="s">
        <v>770</v>
      </c>
    </row>
    <row r="136" spans="1:14" ht="20.100000000000001" customHeight="1" x14ac:dyDescent="0.25">
      <c r="A136" s="15" t="s">
        <v>771</v>
      </c>
      <c r="B136" s="16" t="s">
        <v>66</v>
      </c>
      <c r="C136" s="15">
        <v>8100502</v>
      </c>
      <c r="D136" s="16" t="s">
        <v>67</v>
      </c>
      <c r="E136" s="15" t="s">
        <v>772</v>
      </c>
      <c r="F136" s="21" t="str">
        <f>HYPERLINK("https://psearch.kitsapgov.com/webappa/index.html?parcelID=1471739&amp;Theme=Imagery","1471739")</f>
        <v>1471739</v>
      </c>
      <c r="G136" s="16" t="s">
        <v>773</v>
      </c>
      <c r="H136" s="17">
        <v>42223</v>
      </c>
      <c r="I136" s="18">
        <v>850000</v>
      </c>
      <c r="J136" s="19">
        <v>0.6</v>
      </c>
      <c r="K136" s="16" t="s">
        <v>173</v>
      </c>
      <c r="L136" s="16" t="s">
        <v>20</v>
      </c>
      <c r="M136" s="16" t="s">
        <v>774</v>
      </c>
      <c r="N136" s="16" t="s">
        <v>775</v>
      </c>
    </row>
    <row r="137" spans="1:14" ht="20.100000000000001" customHeight="1" x14ac:dyDescent="0.25">
      <c r="A137" s="15" t="s">
        <v>776</v>
      </c>
      <c r="B137" s="16" t="s">
        <v>89</v>
      </c>
      <c r="C137" s="15">
        <v>8401104</v>
      </c>
      <c r="D137" s="16" t="s">
        <v>144</v>
      </c>
      <c r="E137" s="15" t="s">
        <v>777</v>
      </c>
      <c r="F137" s="21" t="str">
        <f>HYPERLINK("https://psearch.kitsapgov.com/webappa/index.html?parcelID=1236652&amp;Theme=Imagery","1236652")</f>
        <v>1236652</v>
      </c>
      <c r="G137" s="16" t="s">
        <v>778</v>
      </c>
      <c r="H137" s="17">
        <v>42219</v>
      </c>
      <c r="I137" s="18">
        <v>1000</v>
      </c>
      <c r="J137" s="19">
        <v>0.59</v>
      </c>
      <c r="K137" s="16" t="s">
        <v>194</v>
      </c>
      <c r="L137" s="16" t="s">
        <v>542</v>
      </c>
      <c r="M137" s="16" t="s">
        <v>779</v>
      </c>
      <c r="N137" s="16" t="s">
        <v>544</v>
      </c>
    </row>
    <row r="138" spans="1:14" ht="20.100000000000001" customHeight="1" x14ac:dyDescent="0.25">
      <c r="A138" s="15" t="s">
        <v>780</v>
      </c>
      <c r="B138" s="16" t="s">
        <v>239</v>
      </c>
      <c r="C138" s="15">
        <v>8402307</v>
      </c>
      <c r="D138" s="16" t="s">
        <v>151</v>
      </c>
      <c r="E138" s="15" t="s">
        <v>781</v>
      </c>
      <c r="F138" s="21" t="str">
        <f>HYPERLINK("https://psearch.kitsapgov.com/webappa/index.html?parcelID=2032118&amp;Theme=Imagery","2032118")</f>
        <v>2032118</v>
      </c>
      <c r="G138" s="16" t="s">
        <v>782</v>
      </c>
      <c r="H138" s="17">
        <v>42242</v>
      </c>
      <c r="I138" s="18">
        <v>410000</v>
      </c>
      <c r="J138" s="19">
        <v>0.48</v>
      </c>
      <c r="K138" s="16" t="s">
        <v>78</v>
      </c>
      <c r="L138" s="16" t="s">
        <v>20</v>
      </c>
      <c r="M138" s="16" t="s">
        <v>783</v>
      </c>
      <c r="N138" s="16" t="s">
        <v>784</v>
      </c>
    </row>
    <row r="139" spans="1:14" ht="20.100000000000001" customHeight="1" x14ac:dyDescent="0.25">
      <c r="A139" s="15" t="s">
        <v>785</v>
      </c>
      <c r="B139" s="16" t="s">
        <v>688</v>
      </c>
      <c r="C139" s="15">
        <v>8402306</v>
      </c>
      <c r="D139" s="16" t="s">
        <v>34</v>
      </c>
      <c r="E139" s="15" t="s">
        <v>786</v>
      </c>
      <c r="F139" s="21" t="str">
        <f>HYPERLINK("https://psearch.kitsapgov.com/webappa/index.html?parcelID=2446268&amp;Theme=Imagery","2446268")</f>
        <v>2446268</v>
      </c>
      <c r="G139" s="16" t="s">
        <v>787</v>
      </c>
      <c r="H139" s="17">
        <v>42158</v>
      </c>
      <c r="I139" s="18">
        <v>1729900</v>
      </c>
      <c r="J139" s="19">
        <v>1.36</v>
      </c>
      <c r="K139" s="16" t="s">
        <v>333</v>
      </c>
      <c r="L139" s="16" t="s">
        <v>38</v>
      </c>
      <c r="M139" s="16" t="s">
        <v>691</v>
      </c>
      <c r="N139" s="16" t="s">
        <v>788</v>
      </c>
    </row>
    <row r="140" spans="1:14" ht="20.100000000000001" customHeight="1" x14ac:dyDescent="0.25">
      <c r="A140" s="15" t="s">
        <v>789</v>
      </c>
      <c r="B140" s="16" t="s">
        <v>688</v>
      </c>
      <c r="C140" s="15">
        <v>8401104</v>
      </c>
      <c r="D140" s="16" t="s">
        <v>144</v>
      </c>
      <c r="E140" s="15" t="s">
        <v>790</v>
      </c>
      <c r="F140" s="21" t="str">
        <f>HYPERLINK("https://psearch.kitsapgov.com/webappa/index.html?parcelID=1241736&amp;Theme=Imagery","1241736")</f>
        <v>1241736</v>
      </c>
      <c r="G140" s="16" t="s">
        <v>791</v>
      </c>
      <c r="H140" s="17">
        <v>42158</v>
      </c>
      <c r="I140" s="18">
        <v>1199800</v>
      </c>
      <c r="J140" s="19">
        <v>0.7</v>
      </c>
      <c r="K140" s="16" t="s">
        <v>78</v>
      </c>
      <c r="L140" s="16" t="s">
        <v>38</v>
      </c>
      <c r="M140" s="16" t="s">
        <v>691</v>
      </c>
      <c r="N140" s="16" t="s">
        <v>788</v>
      </c>
    </row>
    <row r="141" spans="1:14" ht="20.100000000000001" customHeight="1" x14ac:dyDescent="0.25">
      <c r="A141" s="15" t="s">
        <v>792</v>
      </c>
      <c r="B141" s="16" t="s">
        <v>318</v>
      </c>
      <c r="C141" s="15">
        <v>8402391</v>
      </c>
      <c r="D141" s="16" t="s">
        <v>227</v>
      </c>
      <c r="E141" s="15" t="s">
        <v>793</v>
      </c>
      <c r="F141" s="21" t="str">
        <f>HYPERLINK("https://psearch.kitsapgov.com/webappa/index.html?parcelID=2297596&amp;Theme=Imagery","2297596")</f>
        <v>2297596</v>
      </c>
      <c r="G141" s="16" t="s">
        <v>338</v>
      </c>
      <c r="H141" s="17">
        <v>42247</v>
      </c>
      <c r="I141" s="18">
        <v>30000</v>
      </c>
      <c r="J141" s="19">
        <v>0</v>
      </c>
      <c r="L141" s="16" t="s">
        <v>290</v>
      </c>
      <c r="M141" s="16" t="s">
        <v>794</v>
      </c>
      <c r="N141" s="16" t="s">
        <v>795</v>
      </c>
    </row>
    <row r="142" spans="1:14" ht="20.100000000000001" customHeight="1" x14ac:dyDescent="0.25">
      <c r="A142" s="15" t="s">
        <v>796</v>
      </c>
      <c r="B142" s="16" t="s">
        <v>368</v>
      </c>
      <c r="C142" s="15">
        <v>8100502</v>
      </c>
      <c r="D142" s="16" t="s">
        <v>67</v>
      </c>
      <c r="E142" s="15" t="s">
        <v>797</v>
      </c>
      <c r="F142" s="21" t="str">
        <f>HYPERLINK("https://psearch.kitsapgov.com/webappa/index.html?parcelID=1453976&amp;Theme=Imagery","1453976")</f>
        <v>1453976</v>
      </c>
      <c r="G142" s="16" t="s">
        <v>798</v>
      </c>
      <c r="H142" s="17">
        <v>42109</v>
      </c>
      <c r="I142" s="18">
        <v>57365</v>
      </c>
      <c r="J142" s="19">
        <v>0.98</v>
      </c>
      <c r="K142" s="16" t="s">
        <v>85</v>
      </c>
      <c r="L142" s="16" t="s">
        <v>246</v>
      </c>
      <c r="M142" s="16" t="s">
        <v>799</v>
      </c>
      <c r="N142" s="16" t="s">
        <v>800</v>
      </c>
    </row>
    <row r="143" spans="1:14" ht="20.100000000000001" customHeight="1" x14ac:dyDescent="0.25">
      <c r="A143" s="15" t="s">
        <v>801</v>
      </c>
      <c r="B143" s="16" t="s">
        <v>286</v>
      </c>
      <c r="C143" s="15">
        <v>8400206</v>
      </c>
      <c r="D143" s="16" t="s">
        <v>287</v>
      </c>
      <c r="E143" s="15" t="s">
        <v>802</v>
      </c>
      <c r="F143" s="21" t="str">
        <f>HYPERLINK("https://psearch.kitsapgov.com/webappa/index.html?parcelID=2260990&amp;Theme=Imagery","2260990")</f>
        <v>2260990</v>
      </c>
      <c r="G143" s="16" t="s">
        <v>803</v>
      </c>
      <c r="H143" s="17">
        <v>42248</v>
      </c>
      <c r="I143" s="18">
        <v>75000</v>
      </c>
      <c r="J143" s="19">
        <v>0</v>
      </c>
      <c r="L143" s="16" t="s">
        <v>290</v>
      </c>
      <c r="M143" s="16" t="s">
        <v>804</v>
      </c>
      <c r="N143" s="16" t="s">
        <v>805</v>
      </c>
    </row>
    <row r="144" spans="1:14" ht="20.100000000000001" customHeight="1" x14ac:dyDescent="0.25">
      <c r="A144" s="15" t="s">
        <v>806</v>
      </c>
      <c r="B144" s="16" t="s">
        <v>124</v>
      </c>
      <c r="C144" s="15">
        <v>9100543</v>
      </c>
      <c r="D144" s="16" t="s">
        <v>807</v>
      </c>
      <c r="E144" s="15" t="s">
        <v>808</v>
      </c>
      <c r="F144" s="21" t="str">
        <f>HYPERLINK("https://psearch.kitsapgov.com/webappa/index.html?parcelID=1138155&amp;Theme=Imagery","1138155")</f>
        <v>1138155</v>
      </c>
      <c r="G144" s="16" t="s">
        <v>809</v>
      </c>
      <c r="H144" s="17">
        <v>42256</v>
      </c>
      <c r="I144" s="18">
        <v>314900</v>
      </c>
      <c r="J144" s="19">
        <v>0.46</v>
      </c>
      <c r="K144" s="16" t="s">
        <v>235</v>
      </c>
      <c r="L144" s="16" t="s">
        <v>38</v>
      </c>
      <c r="M144" s="16" t="s">
        <v>810</v>
      </c>
      <c r="N144" s="16" t="s">
        <v>811</v>
      </c>
    </row>
    <row r="145" spans="1:14" ht="20.100000000000001" customHeight="1" x14ac:dyDescent="0.25">
      <c r="A145" s="15" t="s">
        <v>812</v>
      </c>
      <c r="B145" s="16" t="s">
        <v>57</v>
      </c>
      <c r="C145" s="15">
        <v>8402307</v>
      </c>
      <c r="D145" s="16" t="s">
        <v>151</v>
      </c>
      <c r="E145" s="15" t="s">
        <v>813</v>
      </c>
      <c r="F145" s="21" t="str">
        <f>HYPERLINK("https://psearch.kitsapgov.com/webappa/index.html?parcelID=1040047&amp;Theme=Imagery","1040047")</f>
        <v>1040047</v>
      </c>
      <c r="G145" s="16" t="s">
        <v>814</v>
      </c>
      <c r="H145" s="17">
        <v>42262</v>
      </c>
      <c r="I145" s="18">
        <v>95000</v>
      </c>
      <c r="J145" s="19">
        <v>0.51</v>
      </c>
      <c r="K145" s="16" t="s">
        <v>371</v>
      </c>
      <c r="L145" s="16" t="s">
        <v>20</v>
      </c>
      <c r="M145" s="16" t="s">
        <v>815</v>
      </c>
      <c r="N145" s="16" t="s">
        <v>816</v>
      </c>
    </row>
    <row r="146" spans="1:14" ht="20.100000000000001" customHeight="1" x14ac:dyDescent="0.25">
      <c r="A146" s="15" t="s">
        <v>817</v>
      </c>
      <c r="B146" s="16" t="s">
        <v>49</v>
      </c>
      <c r="C146" s="15">
        <v>8100510</v>
      </c>
      <c r="D146" s="16" t="s">
        <v>401</v>
      </c>
      <c r="E146" s="15" t="s">
        <v>461</v>
      </c>
      <c r="F146" s="21" t="str">
        <f>HYPERLINK("https://psearch.kitsapgov.com/webappa/index.html?parcelID=1437888&amp;Theme=Imagery","1437888")</f>
        <v>1437888</v>
      </c>
      <c r="G146" s="16" t="s">
        <v>462</v>
      </c>
      <c r="H146" s="17">
        <v>42256</v>
      </c>
      <c r="I146" s="18">
        <v>41000</v>
      </c>
      <c r="J146" s="19">
        <v>7.0000000000000007E-2</v>
      </c>
      <c r="K146" s="16" t="s">
        <v>28</v>
      </c>
      <c r="L146" s="16" t="s">
        <v>38</v>
      </c>
      <c r="M146" s="16" t="s">
        <v>818</v>
      </c>
      <c r="N146" s="16" t="s">
        <v>819</v>
      </c>
    </row>
    <row r="147" spans="1:14" ht="20.100000000000001" customHeight="1" x14ac:dyDescent="0.25">
      <c r="A147" s="15" t="s">
        <v>820</v>
      </c>
      <c r="B147" s="16" t="s">
        <v>306</v>
      </c>
      <c r="C147" s="15">
        <v>8400302</v>
      </c>
      <c r="D147" s="16" t="s">
        <v>133</v>
      </c>
      <c r="E147" s="15" t="s">
        <v>821</v>
      </c>
      <c r="F147" s="21" t="str">
        <f>HYPERLINK("https://psearch.kitsapgov.com/webappa/index.html?parcelID=2564383&amp;Theme=Imagery","2564383")</f>
        <v>2564383</v>
      </c>
      <c r="G147" s="16" t="s">
        <v>822</v>
      </c>
      <c r="H147" s="17">
        <v>42255</v>
      </c>
      <c r="I147" s="18">
        <v>875000</v>
      </c>
      <c r="J147" s="19">
        <v>0.85</v>
      </c>
      <c r="K147" s="16" t="s">
        <v>136</v>
      </c>
      <c r="L147" s="16" t="s">
        <v>38</v>
      </c>
      <c r="M147" s="16" t="s">
        <v>823</v>
      </c>
      <c r="N147" s="16" t="s">
        <v>824</v>
      </c>
    </row>
    <row r="148" spans="1:14" ht="20.100000000000001" customHeight="1" x14ac:dyDescent="0.25">
      <c r="A148" s="15" t="s">
        <v>825</v>
      </c>
      <c r="B148" s="16" t="s">
        <v>393</v>
      </c>
      <c r="C148" s="15">
        <v>8401103</v>
      </c>
      <c r="D148" s="16" t="s">
        <v>826</v>
      </c>
      <c r="E148" s="15" t="s">
        <v>827</v>
      </c>
      <c r="F148" s="21" t="str">
        <f>HYPERLINK("https://psearch.kitsapgov.com/webappa/index.html?parcelID=2446987&amp;Theme=Imagery","2446987")</f>
        <v>2446987</v>
      </c>
      <c r="G148" s="16" t="s">
        <v>828</v>
      </c>
      <c r="H148" s="17">
        <v>42271</v>
      </c>
      <c r="I148" s="18">
        <v>31250000</v>
      </c>
      <c r="J148" s="19">
        <v>12.56</v>
      </c>
      <c r="K148" s="16" t="s">
        <v>708</v>
      </c>
      <c r="L148" s="16" t="s">
        <v>38</v>
      </c>
      <c r="M148" s="16" t="s">
        <v>829</v>
      </c>
      <c r="N148" s="16" t="s">
        <v>830</v>
      </c>
    </row>
    <row r="149" spans="1:14" ht="20.100000000000001" customHeight="1" x14ac:dyDescent="0.25">
      <c r="A149" s="15" t="s">
        <v>831</v>
      </c>
      <c r="B149" s="16" t="s">
        <v>393</v>
      </c>
      <c r="C149" s="15">
        <v>8401101</v>
      </c>
      <c r="D149" s="16" t="s">
        <v>185</v>
      </c>
      <c r="E149" s="15" t="s">
        <v>832</v>
      </c>
      <c r="F149" s="21" t="str">
        <f>HYPERLINK("https://psearch.kitsapgov.com/webappa/index.html?parcelID=2446946&amp;Theme=Imagery","2446946")</f>
        <v>2446946</v>
      </c>
      <c r="G149" s="16" t="s">
        <v>833</v>
      </c>
      <c r="H149" s="17">
        <v>42271</v>
      </c>
      <c r="I149" s="18">
        <v>38250000</v>
      </c>
      <c r="J149" s="19">
        <v>11.33</v>
      </c>
      <c r="K149" s="16" t="s">
        <v>188</v>
      </c>
      <c r="L149" s="16" t="s">
        <v>38</v>
      </c>
      <c r="M149" s="16" t="s">
        <v>834</v>
      </c>
      <c r="N149" s="16" t="s">
        <v>835</v>
      </c>
    </row>
    <row r="150" spans="1:14" ht="20.100000000000001" customHeight="1" x14ac:dyDescent="0.25">
      <c r="A150" s="15" t="s">
        <v>836</v>
      </c>
      <c r="B150" s="16" t="s">
        <v>49</v>
      </c>
      <c r="C150" s="15">
        <v>8100506</v>
      </c>
      <c r="D150" s="16" t="s">
        <v>25</v>
      </c>
      <c r="E150" s="15" t="s">
        <v>837</v>
      </c>
      <c r="F150" s="21" t="str">
        <f>HYPERLINK("https://psearch.kitsapgov.com/webappa/index.html?parcelID=1476175&amp;Theme=Imagery","1476175")</f>
        <v>1476175</v>
      </c>
      <c r="G150" s="16" t="s">
        <v>838</v>
      </c>
      <c r="H150" s="17">
        <v>42278</v>
      </c>
      <c r="I150" s="18">
        <v>152500</v>
      </c>
      <c r="J150" s="19">
        <v>0.09</v>
      </c>
      <c r="K150" s="16" t="s">
        <v>839</v>
      </c>
      <c r="L150" s="16" t="s">
        <v>38</v>
      </c>
      <c r="M150" s="16" t="s">
        <v>840</v>
      </c>
      <c r="N150" s="16" t="s">
        <v>841</v>
      </c>
    </row>
    <row r="151" spans="1:14" ht="20.100000000000001" customHeight="1" x14ac:dyDescent="0.25">
      <c r="A151" s="15" t="s">
        <v>842</v>
      </c>
      <c r="B151" s="16" t="s">
        <v>89</v>
      </c>
      <c r="C151" s="15">
        <v>8401101</v>
      </c>
      <c r="D151" s="16" t="s">
        <v>185</v>
      </c>
      <c r="E151" s="15" t="s">
        <v>843</v>
      </c>
      <c r="F151" s="21" t="str">
        <f>HYPERLINK("https://psearch.kitsapgov.com/webappa/index.html?parcelID=1238930&amp;Theme=Imagery","1238930")</f>
        <v>1238930</v>
      </c>
      <c r="G151" s="16" t="s">
        <v>844</v>
      </c>
      <c r="H151" s="17">
        <v>42284</v>
      </c>
      <c r="I151" s="18">
        <v>554127</v>
      </c>
      <c r="J151" s="19">
        <v>3.77</v>
      </c>
      <c r="K151" s="16" t="s">
        <v>188</v>
      </c>
      <c r="L151" s="16" t="s">
        <v>290</v>
      </c>
      <c r="M151" s="16" t="s">
        <v>845</v>
      </c>
      <c r="N151" s="16" t="s">
        <v>846</v>
      </c>
    </row>
    <row r="152" spans="1:14" ht="20.100000000000001" customHeight="1" x14ac:dyDescent="0.25">
      <c r="A152" s="15" t="s">
        <v>847</v>
      </c>
      <c r="B152" s="16" t="s">
        <v>214</v>
      </c>
      <c r="C152" s="15">
        <v>9100591</v>
      </c>
      <c r="D152" s="16" t="s">
        <v>848</v>
      </c>
      <c r="E152" s="15" t="s">
        <v>849</v>
      </c>
      <c r="F152" s="21" t="str">
        <f>HYPERLINK("https://psearch.kitsapgov.com/webappa/index.html?parcelID=1164102&amp;Theme=Imagery","1164102")</f>
        <v>1164102</v>
      </c>
      <c r="G152" s="16" t="s">
        <v>850</v>
      </c>
      <c r="H152" s="17">
        <v>42292</v>
      </c>
      <c r="I152" s="18">
        <v>205000</v>
      </c>
      <c r="J152" s="19">
        <v>4.42</v>
      </c>
      <c r="K152" s="16" t="s">
        <v>397</v>
      </c>
      <c r="L152" s="16" t="s">
        <v>129</v>
      </c>
      <c r="M152" s="16" t="s">
        <v>851</v>
      </c>
      <c r="N152" s="16" t="s">
        <v>852</v>
      </c>
    </row>
    <row r="153" spans="1:14" ht="20.100000000000001" customHeight="1" x14ac:dyDescent="0.25">
      <c r="A153" s="15" t="s">
        <v>853</v>
      </c>
      <c r="B153" s="16" t="s">
        <v>628</v>
      </c>
      <c r="C153" s="15">
        <v>9100541</v>
      </c>
      <c r="D153" s="16" t="s">
        <v>215</v>
      </c>
      <c r="E153" s="15" t="s">
        <v>854</v>
      </c>
      <c r="F153" s="21" t="str">
        <f>HYPERLINK("https://psearch.kitsapgov.com/webappa/index.html?parcelID=1462563&amp;Theme=Imagery","1462563")</f>
        <v>1462563</v>
      </c>
      <c r="G153" s="16" t="s">
        <v>855</v>
      </c>
      <c r="H153" s="17">
        <v>42298</v>
      </c>
      <c r="I153" s="18">
        <v>170300</v>
      </c>
      <c r="J153" s="19">
        <v>0.14000000000000001</v>
      </c>
      <c r="K153" s="16" t="s">
        <v>235</v>
      </c>
      <c r="L153" s="16" t="s">
        <v>856</v>
      </c>
      <c r="M153" s="16" t="s">
        <v>857</v>
      </c>
      <c r="N153" s="16" t="s">
        <v>858</v>
      </c>
    </row>
    <row r="154" spans="1:14" ht="20.100000000000001" customHeight="1" x14ac:dyDescent="0.25">
      <c r="A154" s="15" t="s">
        <v>859</v>
      </c>
      <c r="B154" s="16" t="s">
        <v>89</v>
      </c>
      <c r="C154" s="15">
        <v>8100501</v>
      </c>
      <c r="D154" s="16" t="s">
        <v>117</v>
      </c>
      <c r="E154" s="15" t="s">
        <v>860</v>
      </c>
      <c r="F154" s="21" t="str">
        <f>HYPERLINK("https://psearch.kitsapgov.com/webappa/index.html?parcelID=1140409&amp;Theme=Imagery","1140409")</f>
        <v>1140409</v>
      </c>
      <c r="G154" s="16" t="s">
        <v>861</v>
      </c>
      <c r="H154" s="17">
        <v>42304</v>
      </c>
      <c r="I154" s="18">
        <v>600000</v>
      </c>
      <c r="J154" s="19">
        <v>0.14000000000000001</v>
      </c>
      <c r="K154" s="16" t="s">
        <v>218</v>
      </c>
      <c r="L154" s="16" t="s">
        <v>246</v>
      </c>
      <c r="M154" s="16" t="s">
        <v>862</v>
      </c>
      <c r="N154" s="16" t="s">
        <v>863</v>
      </c>
    </row>
    <row r="155" spans="1:14" ht="20.100000000000001" customHeight="1" x14ac:dyDescent="0.25">
      <c r="A155" s="15" t="s">
        <v>864</v>
      </c>
      <c r="B155" s="16" t="s">
        <v>442</v>
      </c>
      <c r="C155" s="15">
        <v>8400203</v>
      </c>
      <c r="D155" s="16" t="s">
        <v>97</v>
      </c>
      <c r="E155" s="15" t="s">
        <v>865</v>
      </c>
      <c r="F155" s="21" t="str">
        <f>HYPERLINK("https://psearch.kitsapgov.com/webappa/index.html?parcelID=1336379&amp;Theme=Imagery","1336379")</f>
        <v>1336379</v>
      </c>
      <c r="G155" s="16" t="s">
        <v>866</v>
      </c>
      <c r="H155" s="17">
        <v>42300</v>
      </c>
      <c r="I155" s="18">
        <v>300000</v>
      </c>
      <c r="J155" s="19">
        <v>0.27</v>
      </c>
      <c r="K155" s="16" t="s">
        <v>100</v>
      </c>
      <c r="L155" s="16" t="s">
        <v>38</v>
      </c>
      <c r="M155" s="16" t="s">
        <v>867</v>
      </c>
      <c r="N155" s="16" t="s">
        <v>868</v>
      </c>
    </row>
    <row r="156" spans="1:14" ht="20.100000000000001" customHeight="1" x14ac:dyDescent="0.25">
      <c r="A156" s="15" t="s">
        <v>869</v>
      </c>
      <c r="B156" s="16" t="s">
        <v>49</v>
      </c>
      <c r="C156" s="15">
        <v>8402391</v>
      </c>
      <c r="D156" s="16" t="s">
        <v>227</v>
      </c>
      <c r="E156" s="15" t="s">
        <v>870</v>
      </c>
      <c r="F156" s="21" t="str">
        <f>HYPERLINK("https://psearch.kitsapgov.com/webappa/index.html?parcelID=1919331&amp;Theme=Imagery","1919331")</f>
        <v>1919331</v>
      </c>
      <c r="G156" s="16" t="s">
        <v>871</v>
      </c>
      <c r="H156" s="17">
        <v>42299</v>
      </c>
      <c r="I156" s="18">
        <v>10000</v>
      </c>
      <c r="J156" s="19">
        <v>2.17</v>
      </c>
      <c r="K156" s="16" t="s">
        <v>61</v>
      </c>
      <c r="L156" s="16" t="s">
        <v>542</v>
      </c>
      <c r="M156" s="16" t="s">
        <v>872</v>
      </c>
      <c r="N156" s="16" t="s">
        <v>544</v>
      </c>
    </row>
    <row r="157" spans="1:14" ht="20.100000000000001" customHeight="1" x14ac:dyDescent="0.25">
      <c r="A157" s="15" t="s">
        <v>873</v>
      </c>
      <c r="B157" s="16" t="s">
        <v>124</v>
      </c>
      <c r="C157" s="15">
        <v>9100541</v>
      </c>
      <c r="D157" s="16" t="s">
        <v>215</v>
      </c>
      <c r="E157" s="15" t="s">
        <v>634</v>
      </c>
      <c r="F157" s="21" t="str">
        <f>HYPERLINK("https://psearch.kitsapgov.com/webappa/index.html?parcelID=1462274&amp;Theme=Imagery","1462274")</f>
        <v>1462274</v>
      </c>
      <c r="G157" s="16" t="s">
        <v>635</v>
      </c>
      <c r="H157" s="17">
        <v>42297</v>
      </c>
      <c r="I157" s="18">
        <v>152250</v>
      </c>
      <c r="J157" s="19">
        <v>7.0000000000000007E-2</v>
      </c>
      <c r="K157" s="16" t="s">
        <v>235</v>
      </c>
      <c r="L157" s="16" t="s">
        <v>38</v>
      </c>
      <c r="M157" s="16" t="s">
        <v>874</v>
      </c>
      <c r="N157" s="16" t="s">
        <v>875</v>
      </c>
    </row>
    <row r="158" spans="1:14" ht="20.100000000000001" customHeight="1" x14ac:dyDescent="0.25">
      <c r="A158" s="15" t="s">
        <v>876</v>
      </c>
      <c r="B158" s="16" t="s">
        <v>89</v>
      </c>
      <c r="C158" s="15">
        <v>8402307</v>
      </c>
      <c r="D158" s="16" t="s">
        <v>151</v>
      </c>
      <c r="E158" s="15" t="s">
        <v>877</v>
      </c>
      <c r="F158" s="21" t="str">
        <f>HYPERLINK("https://psearch.kitsapgov.com/webappa/index.html?parcelID=2587897&amp;Theme=Imagery","2587897")</f>
        <v>2587897</v>
      </c>
      <c r="G158" s="16" t="s">
        <v>878</v>
      </c>
      <c r="H158" s="17">
        <v>42317</v>
      </c>
      <c r="I158" s="18">
        <v>1460000</v>
      </c>
      <c r="J158" s="19">
        <v>0.3</v>
      </c>
      <c r="K158" s="16" t="s">
        <v>371</v>
      </c>
      <c r="L158" s="16" t="s">
        <v>38</v>
      </c>
      <c r="M158" s="16" t="s">
        <v>879</v>
      </c>
      <c r="N158" s="16" t="s">
        <v>880</v>
      </c>
    </row>
    <row r="159" spans="1:14" ht="20.100000000000001" customHeight="1" x14ac:dyDescent="0.25">
      <c r="A159" s="15" t="s">
        <v>881</v>
      </c>
      <c r="B159" s="16" t="s">
        <v>368</v>
      </c>
      <c r="C159" s="15">
        <v>8401101</v>
      </c>
      <c r="D159" s="16" t="s">
        <v>185</v>
      </c>
      <c r="E159" s="15" t="s">
        <v>882</v>
      </c>
      <c r="F159" s="21" t="str">
        <f>HYPERLINK("https://psearch.kitsapgov.com/webappa/index.html?parcelID=2539948&amp;Theme=Imagery","2539948")</f>
        <v>2539948</v>
      </c>
      <c r="G159" s="16" t="s">
        <v>883</v>
      </c>
      <c r="H159" s="17">
        <v>42306</v>
      </c>
      <c r="I159" s="18">
        <v>2650</v>
      </c>
      <c r="J159" s="19">
        <v>3.12</v>
      </c>
      <c r="K159" s="16" t="s">
        <v>188</v>
      </c>
      <c r="L159" s="16" t="s">
        <v>542</v>
      </c>
      <c r="M159" s="16" t="s">
        <v>884</v>
      </c>
      <c r="N159" s="16" t="s">
        <v>710</v>
      </c>
    </row>
    <row r="160" spans="1:14" ht="20.100000000000001" customHeight="1" x14ac:dyDescent="0.25">
      <c r="A160" s="15" t="s">
        <v>885</v>
      </c>
      <c r="B160" s="16" t="s">
        <v>628</v>
      </c>
      <c r="C160" s="15">
        <v>8401101</v>
      </c>
      <c r="D160" s="16" t="s">
        <v>185</v>
      </c>
      <c r="E160" s="15" t="s">
        <v>886</v>
      </c>
      <c r="F160" s="21" t="str">
        <f>HYPERLINK("https://psearch.kitsapgov.com/webappa/index.html?parcelID=1242379&amp;Theme=Imagery","1242379")</f>
        <v>1242379</v>
      </c>
      <c r="G160" s="16" t="s">
        <v>887</v>
      </c>
      <c r="H160" s="17">
        <v>42320</v>
      </c>
      <c r="I160" s="18">
        <v>3100000</v>
      </c>
      <c r="J160" s="19">
        <v>2.64</v>
      </c>
      <c r="K160" s="16" t="s">
        <v>188</v>
      </c>
      <c r="L160" s="16" t="s">
        <v>79</v>
      </c>
      <c r="M160" s="16" t="s">
        <v>888</v>
      </c>
      <c r="N160" s="16" t="s">
        <v>889</v>
      </c>
    </row>
    <row r="161" spans="1:14" ht="20.100000000000001" customHeight="1" x14ac:dyDescent="0.25">
      <c r="A161" s="15" t="s">
        <v>890</v>
      </c>
      <c r="B161" s="16" t="s">
        <v>57</v>
      </c>
      <c r="C161" s="15">
        <v>8401101</v>
      </c>
      <c r="D161" s="16" t="s">
        <v>185</v>
      </c>
      <c r="E161" s="15" t="s">
        <v>891</v>
      </c>
      <c r="F161" s="21" t="str">
        <f>HYPERLINK("https://psearch.kitsapgov.com/webappa/index.html?parcelID=1242528&amp;Theme=Imagery","1242528")</f>
        <v>1242528</v>
      </c>
      <c r="G161" s="16" t="s">
        <v>892</v>
      </c>
      <c r="H161" s="17">
        <v>42320</v>
      </c>
      <c r="I161" s="18">
        <v>300000</v>
      </c>
      <c r="J161" s="19">
        <v>1.3</v>
      </c>
      <c r="K161" s="16" t="s">
        <v>188</v>
      </c>
      <c r="L161" s="16" t="s">
        <v>38</v>
      </c>
      <c r="M161" s="16" t="s">
        <v>888</v>
      </c>
      <c r="N161" s="16" t="s">
        <v>893</v>
      </c>
    </row>
    <row r="162" spans="1:14" ht="20.100000000000001" customHeight="1" x14ac:dyDescent="0.25">
      <c r="A162" s="15" t="s">
        <v>894</v>
      </c>
      <c r="B162" s="16" t="s">
        <v>96</v>
      </c>
      <c r="C162" s="15">
        <v>8100501</v>
      </c>
      <c r="D162" s="16" t="s">
        <v>117</v>
      </c>
      <c r="E162" s="15" t="s">
        <v>741</v>
      </c>
      <c r="F162" s="21" t="str">
        <f>HYPERLINK("https://psearch.kitsapgov.com/webappa/index.html?parcelID=1426600&amp;Theme=Imagery","1426600")</f>
        <v>1426600</v>
      </c>
      <c r="G162" s="16" t="s">
        <v>742</v>
      </c>
      <c r="H162" s="17">
        <v>42317</v>
      </c>
      <c r="I162" s="18">
        <v>354593</v>
      </c>
      <c r="J162" s="19">
        <v>0.14000000000000001</v>
      </c>
      <c r="K162" s="16" t="s">
        <v>120</v>
      </c>
      <c r="L162" s="16" t="s">
        <v>246</v>
      </c>
      <c r="M162" s="16" t="s">
        <v>895</v>
      </c>
      <c r="N162" s="16" t="s">
        <v>896</v>
      </c>
    </row>
    <row r="163" spans="1:14" ht="20.100000000000001" customHeight="1" x14ac:dyDescent="0.25">
      <c r="A163" s="15" t="s">
        <v>897</v>
      </c>
      <c r="B163" s="16" t="s">
        <v>49</v>
      </c>
      <c r="C163" s="15">
        <v>9100541</v>
      </c>
      <c r="D163" s="16" t="s">
        <v>215</v>
      </c>
      <c r="E163" s="15" t="s">
        <v>898</v>
      </c>
      <c r="F163" s="21" t="str">
        <f>HYPERLINK("https://psearch.kitsapgov.com/webappa/index.html?parcelID=1450584&amp;Theme=Imagery","1450584")</f>
        <v>1450584</v>
      </c>
      <c r="G163" s="16" t="s">
        <v>899</v>
      </c>
      <c r="H163" s="17">
        <v>42319</v>
      </c>
      <c r="I163" s="18">
        <v>33000</v>
      </c>
      <c r="J163" s="19">
        <v>0.15</v>
      </c>
      <c r="K163" s="16" t="s">
        <v>28</v>
      </c>
      <c r="L163" s="16" t="s">
        <v>79</v>
      </c>
      <c r="M163" s="16" t="s">
        <v>900</v>
      </c>
      <c r="N163" s="16" t="s">
        <v>901</v>
      </c>
    </row>
    <row r="164" spans="1:14" ht="20.100000000000001" customHeight="1" x14ac:dyDescent="0.25">
      <c r="A164" s="15" t="s">
        <v>902</v>
      </c>
      <c r="B164" s="16" t="s">
        <v>49</v>
      </c>
      <c r="C164" s="15">
        <v>8401508</v>
      </c>
      <c r="D164" s="16" t="s">
        <v>90</v>
      </c>
      <c r="E164" s="15" t="s">
        <v>903</v>
      </c>
      <c r="F164" s="21" t="str">
        <f>HYPERLINK("https://psearch.kitsapgov.com/webappa/index.html?parcelID=1263854&amp;Theme=Imagery","1263854")</f>
        <v>1263854</v>
      </c>
      <c r="G164" s="16" t="s">
        <v>904</v>
      </c>
      <c r="H164" s="17">
        <v>42318</v>
      </c>
      <c r="I164" s="18">
        <v>266160</v>
      </c>
      <c r="J164" s="19">
        <v>0.74</v>
      </c>
      <c r="K164" s="16" t="s">
        <v>78</v>
      </c>
      <c r="L164" s="16" t="s">
        <v>129</v>
      </c>
      <c r="M164" s="16" t="s">
        <v>636</v>
      </c>
      <c r="N164" s="16" t="s">
        <v>905</v>
      </c>
    </row>
    <row r="165" spans="1:14" ht="20.100000000000001" customHeight="1" x14ac:dyDescent="0.25">
      <c r="A165" s="15" t="s">
        <v>906</v>
      </c>
      <c r="B165" s="16" t="s">
        <v>66</v>
      </c>
      <c r="C165" s="15">
        <v>8400302</v>
      </c>
      <c r="D165" s="16" t="s">
        <v>133</v>
      </c>
      <c r="E165" s="15" t="s">
        <v>907</v>
      </c>
      <c r="F165" s="21" t="str">
        <f>HYPERLINK("https://psearch.kitsapgov.com/webappa/index.html?parcelID=2357325&amp;Theme=Imagery","2357325")</f>
        <v>2357325</v>
      </c>
      <c r="G165" s="16" t="s">
        <v>908</v>
      </c>
      <c r="H165" s="17">
        <v>42320</v>
      </c>
      <c r="I165" s="18">
        <v>300000</v>
      </c>
      <c r="J165" s="19">
        <v>0.44</v>
      </c>
      <c r="K165" s="16" t="s">
        <v>309</v>
      </c>
      <c r="L165" s="16" t="s">
        <v>38</v>
      </c>
      <c r="M165" s="16" t="s">
        <v>909</v>
      </c>
      <c r="N165" s="16" t="s">
        <v>910</v>
      </c>
    </row>
    <row r="166" spans="1:14" ht="20.100000000000001" customHeight="1" x14ac:dyDescent="0.25">
      <c r="A166" s="15" t="s">
        <v>911</v>
      </c>
      <c r="B166" s="16" t="s">
        <v>49</v>
      </c>
      <c r="C166" s="15">
        <v>8100504</v>
      </c>
      <c r="D166" s="16" t="s">
        <v>58</v>
      </c>
      <c r="E166" s="15" t="s">
        <v>912</v>
      </c>
      <c r="F166" s="21" t="str">
        <f>HYPERLINK("https://psearch.kitsapgov.com/webappa/index.html?parcelID=1159045&amp;Theme=Imagery","1159045")</f>
        <v>1159045</v>
      </c>
      <c r="G166" s="16" t="s">
        <v>913</v>
      </c>
      <c r="H166" s="17">
        <v>42318</v>
      </c>
      <c r="I166" s="18">
        <v>270219</v>
      </c>
      <c r="J166" s="19">
        <v>1.1200000000000001</v>
      </c>
      <c r="K166" s="16" t="s">
        <v>78</v>
      </c>
      <c r="L166" s="16" t="s">
        <v>129</v>
      </c>
      <c r="M166" s="16" t="s">
        <v>914</v>
      </c>
      <c r="N166" s="16" t="s">
        <v>905</v>
      </c>
    </row>
    <row r="167" spans="1:14" ht="20.100000000000001" customHeight="1" x14ac:dyDescent="0.25">
      <c r="A167" s="15" t="s">
        <v>915</v>
      </c>
      <c r="B167" s="16" t="s">
        <v>143</v>
      </c>
      <c r="C167" s="15">
        <v>8402305</v>
      </c>
      <c r="D167" s="16" t="s">
        <v>259</v>
      </c>
      <c r="E167" s="15" t="s">
        <v>916</v>
      </c>
      <c r="F167" s="21" t="str">
        <f>HYPERLINK("https://psearch.kitsapgov.com/webappa/index.html?parcelID=1052398&amp;Theme=Imagery","1052398")</f>
        <v>1052398</v>
      </c>
      <c r="G167" s="16" t="s">
        <v>917</v>
      </c>
      <c r="H167" s="17">
        <v>42325</v>
      </c>
      <c r="I167" s="18">
        <v>242333</v>
      </c>
      <c r="J167" s="19">
        <v>4.88</v>
      </c>
      <c r="K167" s="16" t="s">
        <v>78</v>
      </c>
      <c r="L167" s="16" t="s">
        <v>20</v>
      </c>
      <c r="M167" s="16" t="s">
        <v>918</v>
      </c>
      <c r="N167" s="16" t="s">
        <v>919</v>
      </c>
    </row>
    <row r="168" spans="1:14" ht="20.100000000000001" customHeight="1" x14ac:dyDescent="0.25">
      <c r="A168" s="15" t="s">
        <v>920</v>
      </c>
      <c r="B168" s="16" t="s">
        <v>602</v>
      </c>
      <c r="C168" s="15">
        <v>8303601</v>
      </c>
      <c r="D168" s="16" t="s">
        <v>50</v>
      </c>
      <c r="E168" s="15" t="s">
        <v>921</v>
      </c>
      <c r="F168" s="21" t="str">
        <f>HYPERLINK("https://psearch.kitsapgov.com/webappa/index.html?parcelID=2593887&amp;Theme=Imagery","2593887")</f>
        <v>2593887</v>
      </c>
      <c r="G168" s="16" t="s">
        <v>922</v>
      </c>
      <c r="H168" s="17">
        <v>42317</v>
      </c>
      <c r="I168" s="18">
        <v>114997</v>
      </c>
      <c r="J168" s="19">
        <v>0</v>
      </c>
      <c r="L168" s="16" t="s">
        <v>246</v>
      </c>
      <c r="M168" s="16" t="s">
        <v>923</v>
      </c>
      <c r="N168" s="16" t="s">
        <v>924</v>
      </c>
    </row>
    <row r="169" spans="1:14" ht="20.100000000000001" customHeight="1" x14ac:dyDescent="0.25">
      <c r="A169" s="15" t="s">
        <v>925</v>
      </c>
      <c r="B169" s="16" t="s">
        <v>926</v>
      </c>
      <c r="C169" s="15">
        <v>9401141</v>
      </c>
      <c r="D169" s="16" t="s">
        <v>664</v>
      </c>
      <c r="E169" s="15" t="s">
        <v>927</v>
      </c>
      <c r="F169" s="21" t="str">
        <f>HYPERLINK("https://psearch.kitsapgov.com/webappa/index.html?parcelID=1248749&amp;Theme=Imagery","1248749")</f>
        <v>1248749</v>
      </c>
      <c r="G169" s="16" t="s">
        <v>928</v>
      </c>
      <c r="H169" s="17">
        <v>42293</v>
      </c>
      <c r="I169" s="18">
        <v>1000</v>
      </c>
      <c r="J169" s="19">
        <v>78.62</v>
      </c>
      <c r="K169" s="16" t="s">
        <v>128</v>
      </c>
      <c r="L169" s="16" t="s">
        <v>542</v>
      </c>
      <c r="M169" s="16" t="s">
        <v>929</v>
      </c>
      <c r="N169" s="16" t="s">
        <v>544</v>
      </c>
    </row>
    <row r="170" spans="1:14" ht="20.100000000000001" customHeight="1" x14ac:dyDescent="0.25">
      <c r="A170" s="15" t="s">
        <v>930</v>
      </c>
      <c r="B170" s="16" t="s">
        <v>347</v>
      </c>
      <c r="C170" s="15">
        <v>8100506</v>
      </c>
      <c r="D170" s="16" t="s">
        <v>25</v>
      </c>
      <c r="E170" s="15" t="s">
        <v>931</v>
      </c>
      <c r="F170" s="21" t="str">
        <f>HYPERLINK("https://psearch.kitsapgov.com/webappa/index.html?parcelID=1493931&amp;Theme=Imagery","1493931")</f>
        <v>1493931</v>
      </c>
      <c r="G170" s="16" t="s">
        <v>932</v>
      </c>
      <c r="H170" s="17">
        <v>42311</v>
      </c>
      <c r="I170" s="18">
        <v>390000</v>
      </c>
      <c r="J170" s="19">
        <v>0.42</v>
      </c>
      <c r="K170" s="16" t="s">
        <v>85</v>
      </c>
      <c r="L170" s="16" t="s">
        <v>129</v>
      </c>
      <c r="M170" s="16" t="s">
        <v>933</v>
      </c>
      <c r="N170" s="16" t="s">
        <v>934</v>
      </c>
    </row>
    <row r="171" spans="1:14" ht="20.100000000000001" customHeight="1" x14ac:dyDescent="0.25">
      <c r="A171" s="15" t="s">
        <v>935</v>
      </c>
      <c r="B171" s="16" t="s">
        <v>57</v>
      </c>
      <c r="C171" s="15">
        <v>9100592</v>
      </c>
      <c r="D171" s="16" t="s">
        <v>105</v>
      </c>
      <c r="E171" s="15" t="s">
        <v>936</v>
      </c>
      <c r="F171" s="21" t="str">
        <f>HYPERLINK("https://psearch.kitsapgov.com/webappa/index.html?parcelID=1105311&amp;Theme=Imagery","1105311")</f>
        <v>1105311</v>
      </c>
      <c r="G171" s="16" t="s">
        <v>937</v>
      </c>
      <c r="H171" s="17">
        <v>42326</v>
      </c>
      <c r="I171" s="18">
        <v>380858</v>
      </c>
      <c r="J171" s="19">
        <v>2.4</v>
      </c>
      <c r="K171" s="16" t="s">
        <v>78</v>
      </c>
      <c r="L171" s="16" t="s">
        <v>129</v>
      </c>
      <c r="M171" s="16" t="s">
        <v>938</v>
      </c>
      <c r="N171" s="16" t="s">
        <v>939</v>
      </c>
    </row>
    <row r="172" spans="1:14" ht="20.100000000000001" customHeight="1" x14ac:dyDescent="0.25">
      <c r="A172" s="15" t="s">
        <v>940</v>
      </c>
      <c r="B172" s="16" t="s">
        <v>33</v>
      </c>
      <c r="C172" s="15">
        <v>8400201</v>
      </c>
      <c r="D172" s="16" t="s">
        <v>941</v>
      </c>
      <c r="E172" s="15" t="s">
        <v>942</v>
      </c>
      <c r="F172" s="21" t="str">
        <f>HYPERLINK("https://psearch.kitsapgov.com/webappa/index.html?parcelID=1550938&amp;Theme=Imagery","1550938")</f>
        <v>1550938</v>
      </c>
      <c r="G172" s="16" t="s">
        <v>943</v>
      </c>
      <c r="H172" s="17">
        <v>42328</v>
      </c>
      <c r="I172" s="18">
        <v>500000</v>
      </c>
      <c r="J172" s="19">
        <v>7.0000000000000007E-2</v>
      </c>
      <c r="K172" s="16" t="s">
        <v>944</v>
      </c>
      <c r="L172" s="16" t="s">
        <v>38</v>
      </c>
      <c r="M172" s="16" t="s">
        <v>945</v>
      </c>
      <c r="N172" s="16" t="s">
        <v>946</v>
      </c>
    </row>
    <row r="173" spans="1:14" ht="20.100000000000001" customHeight="1" x14ac:dyDescent="0.25">
      <c r="A173" s="15" t="s">
        <v>947</v>
      </c>
      <c r="B173" s="16" t="s">
        <v>602</v>
      </c>
      <c r="C173" s="15">
        <v>8303601</v>
      </c>
      <c r="D173" s="16" t="s">
        <v>50</v>
      </c>
      <c r="E173" s="15" t="s">
        <v>948</v>
      </c>
      <c r="F173" s="21" t="str">
        <f>HYPERLINK("https://psearch.kitsapgov.com/webappa/index.html?parcelID=2593796&amp;Theme=Imagery","2593796")</f>
        <v>2593796</v>
      </c>
      <c r="G173" s="16" t="s">
        <v>949</v>
      </c>
      <c r="H173" s="17">
        <v>42325</v>
      </c>
      <c r="I173" s="18">
        <v>143746</v>
      </c>
      <c r="J173" s="19">
        <v>0</v>
      </c>
      <c r="L173" s="16" t="s">
        <v>246</v>
      </c>
      <c r="M173" s="16" t="s">
        <v>923</v>
      </c>
      <c r="N173" s="16" t="s">
        <v>950</v>
      </c>
    </row>
    <row r="174" spans="1:14" ht="20.100000000000001" customHeight="1" x14ac:dyDescent="0.25">
      <c r="A174" s="15" t="s">
        <v>951</v>
      </c>
      <c r="B174" s="16" t="s">
        <v>66</v>
      </c>
      <c r="C174" s="15">
        <v>8400302</v>
      </c>
      <c r="D174" s="16" t="s">
        <v>133</v>
      </c>
      <c r="E174" s="15" t="s">
        <v>952</v>
      </c>
      <c r="F174" s="21" t="str">
        <f>HYPERLINK("https://psearch.kitsapgov.com/webappa/index.html?parcelID=2559219&amp;Theme=Imagery","2559219")</f>
        <v>2559219</v>
      </c>
      <c r="G174" s="16" t="s">
        <v>953</v>
      </c>
      <c r="H174" s="17">
        <v>42332</v>
      </c>
      <c r="I174" s="18">
        <v>157500</v>
      </c>
      <c r="J174" s="19">
        <v>1.29</v>
      </c>
      <c r="K174" s="16" t="s">
        <v>136</v>
      </c>
      <c r="L174" s="16" t="s">
        <v>20</v>
      </c>
      <c r="M174" s="16" t="s">
        <v>954</v>
      </c>
      <c r="N174" s="16" t="s">
        <v>955</v>
      </c>
    </row>
    <row r="175" spans="1:14" ht="20.100000000000001" customHeight="1" x14ac:dyDescent="0.25">
      <c r="A175" s="15" t="s">
        <v>956</v>
      </c>
      <c r="B175" s="16" t="s">
        <v>124</v>
      </c>
      <c r="C175" s="15">
        <v>9402390</v>
      </c>
      <c r="D175" s="16" t="s">
        <v>271</v>
      </c>
      <c r="E175" s="15" t="s">
        <v>957</v>
      </c>
      <c r="F175" s="21" t="str">
        <f>HYPERLINK("https://psearch.kitsapgov.com/webappa/index.html?parcelID=1502327&amp;Theme=Imagery","1502327")</f>
        <v>1502327</v>
      </c>
      <c r="G175" s="16" t="s">
        <v>958</v>
      </c>
      <c r="H175" s="17">
        <v>42333</v>
      </c>
      <c r="I175" s="18">
        <v>125000</v>
      </c>
      <c r="J175" s="19">
        <v>0.67</v>
      </c>
      <c r="K175" s="16" t="s">
        <v>108</v>
      </c>
      <c r="L175" s="16" t="s">
        <v>79</v>
      </c>
      <c r="M175" s="16" t="s">
        <v>959</v>
      </c>
      <c r="N175" s="16" t="s">
        <v>960</v>
      </c>
    </row>
    <row r="176" spans="1:14" ht="20.100000000000001" customHeight="1" x14ac:dyDescent="0.25">
      <c r="A176" s="15" t="s">
        <v>961</v>
      </c>
      <c r="B176" s="16" t="s">
        <v>57</v>
      </c>
      <c r="C176" s="15">
        <v>8401104</v>
      </c>
      <c r="D176" s="16" t="s">
        <v>144</v>
      </c>
      <c r="E176" s="15" t="s">
        <v>962</v>
      </c>
      <c r="F176" s="21" t="str">
        <f>HYPERLINK("https://psearch.kitsapgov.com/webappa/index.html?parcelID=1240670&amp;Theme=Imagery","1240670")</f>
        <v>1240670</v>
      </c>
      <c r="G176" s="16" t="s">
        <v>963</v>
      </c>
      <c r="H176" s="17">
        <v>42341</v>
      </c>
      <c r="I176" s="18">
        <v>255000</v>
      </c>
      <c r="J176" s="19">
        <v>6.07</v>
      </c>
      <c r="K176" s="16" t="s">
        <v>108</v>
      </c>
      <c r="L176" s="16" t="s">
        <v>246</v>
      </c>
      <c r="M176" s="16" t="s">
        <v>964</v>
      </c>
      <c r="N176" s="16" t="s">
        <v>965</v>
      </c>
    </row>
    <row r="177" spans="1:14" ht="20.100000000000001" customHeight="1" x14ac:dyDescent="0.25">
      <c r="A177" s="15" t="s">
        <v>966</v>
      </c>
      <c r="B177" s="16" t="s">
        <v>96</v>
      </c>
      <c r="C177" s="15">
        <v>9303604</v>
      </c>
      <c r="D177" s="16" t="s">
        <v>967</v>
      </c>
      <c r="E177" s="15" t="s">
        <v>968</v>
      </c>
      <c r="F177" s="21" t="str">
        <f>HYPERLINK("https://psearch.kitsapgov.com/webappa/index.html?parcelID=1307990&amp;Theme=Imagery","1307990")</f>
        <v>1307990</v>
      </c>
      <c r="G177" s="16" t="s">
        <v>969</v>
      </c>
      <c r="H177" s="17">
        <v>42345</v>
      </c>
      <c r="I177" s="18">
        <v>1350000</v>
      </c>
      <c r="J177" s="19">
        <v>0.93</v>
      </c>
      <c r="K177" s="16" t="s">
        <v>970</v>
      </c>
      <c r="L177" s="16" t="s">
        <v>38</v>
      </c>
      <c r="M177" s="16" t="s">
        <v>971</v>
      </c>
      <c r="N177" s="16" t="s">
        <v>972</v>
      </c>
    </row>
    <row r="178" spans="1:14" ht="20.100000000000001" customHeight="1" x14ac:dyDescent="0.25">
      <c r="A178" s="15" t="s">
        <v>973</v>
      </c>
      <c r="B178" s="16" t="s">
        <v>57</v>
      </c>
      <c r="C178" s="15">
        <v>8100510</v>
      </c>
      <c r="D178" s="16" t="s">
        <v>401</v>
      </c>
      <c r="E178" s="15" t="s">
        <v>974</v>
      </c>
      <c r="F178" s="21" t="str">
        <f>HYPERLINK("https://psearch.kitsapgov.com/webappa/index.html?parcelID=1467208&amp;Theme=Imagery","1467208")</f>
        <v>1467208</v>
      </c>
      <c r="G178" s="16" t="s">
        <v>975</v>
      </c>
      <c r="H178" s="17">
        <v>42348</v>
      </c>
      <c r="I178" s="18">
        <v>18000</v>
      </c>
      <c r="J178" s="19">
        <v>0.18</v>
      </c>
      <c r="K178" s="16" t="s">
        <v>28</v>
      </c>
      <c r="L178" s="16" t="s">
        <v>20</v>
      </c>
      <c r="M178" s="16" t="s">
        <v>976</v>
      </c>
      <c r="N178" s="16" t="s">
        <v>977</v>
      </c>
    </row>
    <row r="179" spans="1:14" ht="20.100000000000001" customHeight="1" x14ac:dyDescent="0.25">
      <c r="A179" s="15" t="s">
        <v>978</v>
      </c>
      <c r="B179" s="16" t="s">
        <v>628</v>
      </c>
      <c r="C179" s="15">
        <v>8401102</v>
      </c>
      <c r="D179" s="16" t="s">
        <v>766</v>
      </c>
      <c r="E179" s="15" t="s">
        <v>979</v>
      </c>
      <c r="F179" s="21" t="str">
        <f>HYPERLINK("https://psearch.kitsapgov.com/webappa/index.html?parcelID=1658889&amp;Theme=Imagery","1658889")</f>
        <v>1658889</v>
      </c>
      <c r="G179" s="16" t="s">
        <v>980</v>
      </c>
      <c r="H179" s="17">
        <v>42347</v>
      </c>
      <c r="I179" s="18">
        <v>350000</v>
      </c>
      <c r="J179" s="19">
        <v>0.25</v>
      </c>
      <c r="K179" s="16" t="s">
        <v>188</v>
      </c>
      <c r="L179" s="16" t="s">
        <v>981</v>
      </c>
      <c r="M179" s="16" t="s">
        <v>982</v>
      </c>
      <c r="N179" s="16" t="s">
        <v>983</v>
      </c>
    </row>
    <row r="180" spans="1:14" ht="20.100000000000001" customHeight="1" x14ac:dyDescent="0.25">
      <c r="A180" s="15" t="s">
        <v>984</v>
      </c>
      <c r="B180" s="16" t="s">
        <v>57</v>
      </c>
      <c r="C180" s="15">
        <v>8402307</v>
      </c>
      <c r="D180" s="16" t="s">
        <v>151</v>
      </c>
      <c r="E180" s="15" t="s">
        <v>985</v>
      </c>
      <c r="F180" s="21" t="str">
        <f>HYPERLINK("https://psearch.kitsapgov.com/webappa/index.html?parcelID=1210541&amp;Theme=Imagery","1210541")</f>
        <v>1210541</v>
      </c>
      <c r="G180" s="16" t="s">
        <v>986</v>
      </c>
      <c r="H180" s="17">
        <v>42352</v>
      </c>
      <c r="I180" s="18">
        <v>70101</v>
      </c>
      <c r="J180" s="19">
        <v>1.96</v>
      </c>
      <c r="K180" s="16" t="s">
        <v>371</v>
      </c>
      <c r="L180" s="16" t="s">
        <v>255</v>
      </c>
      <c r="M180" s="16" t="s">
        <v>256</v>
      </c>
      <c r="N180" s="16" t="s">
        <v>987</v>
      </c>
    </row>
    <row r="181" spans="1:14" ht="20.100000000000001" customHeight="1" x14ac:dyDescent="0.25">
      <c r="A181" s="15" t="s">
        <v>988</v>
      </c>
      <c r="B181" s="16" t="s">
        <v>164</v>
      </c>
      <c r="C181" s="15">
        <v>8303601</v>
      </c>
      <c r="D181" s="16" t="s">
        <v>50</v>
      </c>
      <c r="E181" s="15" t="s">
        <v>989</v>
      </c>
      <c r="F181" s="21" t="str">
        <f>HYPERLINK("https://psearch.kitsapgov.com/webappa/index.html?parcelID=2520617&amp;Theme=Imagery","2520617")</f>
        <v>2520617</v>
      </c>
      <c r="G181" s="16" t="s">
        <v>990</v>
      </c>
      <c r="H181" s="17">
        <v>42348</v>
      </c>
      <c r="I181" s="18">
        <v>479000</v>
      </c>
      <c r="J181" s="19">
        <v>0</v>
      </c>
      <c r="L181" s="16" t="s">
        <v>38</v>
      </c>
      <c r="M181" s="16" t="s">
        <v>991</v>
      </c>
      <c r="N181" s="16" t="s">
        <v>992</v>
      </c>
    </row>
    <row r="182" spans="1:14" ht="20.100000000000001" customHeight="1" x14ac:dyDescent="0.25">
      <c r="A182" s="15" t="s">
        <v>993</v>
      </c>
      <c r="B182" s="16" t="s">
        <v>49</v>
      </c>
      <c r="C182" s="15">
        <v>8400204</v>
      </c>
      <c r="D182" s="16" t="s">
        <v>178</v>
      </c>
      <c r="E182" s="15" t="s">
        <v>994</v>
      </c>
      <c r="F182" s="21" t="str">
        <f>HYPERLINK("https://psearch.kitsapgov.com/webappa/index.html?parcelID=2595197&amp;Theme=Imagery","2595197")</f>
        <v>2595197</v>
      </c>
      <c r="G182" s="16" t="s">
        <v>995</v>
      </c>
      <c r="H182" s="17">
        <v>42353</v>
      </c>
      <c r="I182" s="18">
        <v>400000</v>
      </c>
      <c r="J182" s="19">
        <v>2.8</v>
      </c>
      <c r="K182" s="16" t="s">
        <v>194</v>
      </c>
      <c r="L182" s="16" t="s">
        <v>38</v>
      </c>
      <c r="M182" s="16" t="s">
        <v>893</v>
      </c>
      <c r="N182" s="16" t="s">
        <v>996</v>
      </c>
    </row>
    <row r="183" spans="1:14" ht="20.100000000000001" customHeight="1" x14ac:dyDescent="0.25">
      <c r="A183" s="15" t="s">
        <v>997</v>
      </c>
      <c r="B183" s="16" t="s">
        <v>96</v>
      </c>
      <c r="C183" s="15">
        <v>8400207</v>
      </c>
      <c r="D183" s="16" t="s">
        <v>998</v>
      </c>
      <c r="E183" s="15" t="s">
        <v>999</v>
      </c>
      <c r="F183" s="21" t="str">
        <f>HYPERLINK("https://psearch.kitsapgov.com/webappa/index.html?parcelID=2200780&amp;Theme=Imagery","2200780")</f>
        <v>2200780</v>
      </c>
      <c r="G183" s="16" t="s">
        <v>1000</v>
      </c>
      <c r="H183" s="17">
        <v>42356</v>
      </c>
      <c r="I183" s="18">
        <v>485000</v>
      </c>
      <c r="J183" s="19">
        <v>1.43</v>
      </c>
      <c r="K183" s="16" t="s">
        <v>1001</v>
      </c>
      <c r="L183" s="16" t="s">
        <v>38</v>
      </c>
      <c r="M183" s="16" t="s">
        <v>1002</v>
      </c>
      <c r="N183" s="16" t="s">
        <v>1003</v>
      </c>
    </row>
    <row r="184" spans="1:14" ht="20.100000000000001" customHeight="1" x14ac:dyDescent="0.25">
      <c r="A184" s="15" t="s">
        <v>1004</v>
      </c>
      <c r="B184" s="16" t="s">
        <v>49</v>
      </c>
      <c r="C184" s="15">
        <v>8402307</v>
      </c>
      <c r="D184" s="16" t="s">
        <v>151</v>
      </c>
      <c r="E184" s="15" t="s">
        <v>1005</v>
      </c>
      <c r="F184" s="21" t="str">
        <f>HYPERLINK("https://psearch.kitsapgov.com/webappa/index.html?parcelID=1210418&amp;Theme=Imagery","1210418")</f>
        <v>1210418</v>
      </c>
      <c r="G184" s="16" t="s">
        <v>1006</v>
      </c>
      <c r="H184" s="17">
        <v>42352</v>
      </c>
      <c r="I184" s="18">
        <v>130201</v>
      </c>
      <c r="J184" s="19">
        <v>1.95</v>
      </c>
      <c r="K184" s="16" t="s">
        <v>371</v>
      </c>
      <c r="L184" s="16" t="s">
        <v>129</v>
      </c>
      <c r="M184" s="16" t="s">
        <v>1007</v>
      </c>
      <c r="N184" s="16" t="s">
        <v>1008</v>
      </c>
    </row>
    <row r="185" spans="1:14" ht="20.100000000000001" customHeight="1" x14ac:dyDescent="0.25">
      <c r="A185" s="15" t="s">
        <v>1009</v>
      </c>
      <c r="B185" s="16" t="s">
        <v>74</v>
      </c>
      <c r="C185" s="15">
        <v>8402405</v>
      </c>
      <c r="D185" s="16" t="s">
        <v>1010</v>
      </c>
      <c r="E185" s="15" t="s">
        <v>1011</v>
      </c>
      <c r="F185" s="21" t="str">
        <f>HYPERLINK("https://psearch.kitsapgov.com/webappa/index.html?parcelID=1212588&amp;Theme=Imagery","1212588")</f>
        <v>1212588</v>
      </c>
      <c r="G185" s="16" t="s">
        <v>1012</v>
      </c>
      <c r="H185" s="17">
        <v>42361</v>
      </c>
      <c r="I185" s="18">
        <v>2500000</v>
      </c>
      <c r="J185" s="19">
        <v>3.87</v>
      </c>
      <c r="K185" s="16" t="s">
        <v>194</v>
      </c>
      <c r="L185" s="16" t="s">
        <v>38</v>
      </c>
      <c r="M185" s="16" t="s">
        <v>1013</v>
      </c>
      <c r="N185" s="16" t="s">
        <v>1014</v>
      </c>
    </row>
    <row r="186" spans="1:14" ht="20.100000000000001" customHeight="1" x14ac:dyDescent="0.25">
      <c r="A186" s="15" t="s">
        <v>1015</v>
      </c>
      <c r="B186" s="16" t="s">
        <v>104</v>
      </c>
      <c r="C186" s="15">
        <v>9402390</v>
      </c>
      <c r="D186" s="16" t="s">
        <v>271</v>
      </c>
      <c r="E186" s="15" t="s">
        <v>1016</v>
      </c>
      <c r="F186" s="21" t="str">
        <f>HYPERLINK("https://psearch.kitsapgov.com/webappa/index.html?parcelID=2139624&amp;Theme=Imagery","2139624")</f>
        <v>2139624</v>
      </c>
      <c r="G186" s="16" t="s">
        <v>1017</v>
      </c>
      <c r="H186" s="17">
        <v>42366</v>
      </c>
      <c r="I186" s="18">
        <v>340000</v>
      </c>
      <c r="J186" s="19">
        <v>0.92</v>
      </c>
      <c r="K186" s="16" t="s">
        <v>108</v>
      </c>
      <c r="L186" s="16" t="s">
        <v>38</v>
      </c>
      <c r="M186" s="16" t="s">
        <v>1018</v>
      </c>
      <c r="N186" s="16" t="s">
        <v>1019</v>
      </c>
    </row>
    <row r="187" spans="1:14" ht="20.100000000000001" customHeight="1" x14ac:dyDescent="0.25">
      <c r="A187" s="15" t="s">
        <v>1020</v>
      </c>
      <c r="B187" s="16" t="s">
        <v>89</v>
      </c>
      <c r="C187" s="15">
        <v>8100502</v>
      </c>
      <c r="D187" s="16" t="s">
        <v>67</v>
      </c>
      <c r="E187" s="15" t="s">
        <v>1021</v>
      </c>
      <c r="F187" s="21" t="str">
        <f>HYPERLINK("https://psearch.kitsapgov.com/webappa/index.html?parcelID=2330454&amp;Theme=Imagery","2330454")</f>
        <v>2330454</v>
      </c>
      <c r="G187" s="16" t="s">
        <v>1022</v>
      </c>
      <c r="H187" s="17">
        <v>42367</v>
      </c>
      <c r="I187" s="18">
        <v>1300000</v>
      </c>
      <c r="J187" s="19">
        <v>1.31</v>
      </c>
      <c r="K187" s="16" t="s">
        <v>85</v>
      </c>
      <c r="L187" s="16" t="s">
        <v>20</v>
      </c>
      <c r="M187" s="16" t="s">
        <v>1023</v>
      </c>
      <c r="N187" s="16" t="s">
        <v>1024</v>
      </c>
    </row>
    <row r="188" spans="1:14" ht="20.100000000000001" customHeight="1" x14ac:dyDescent="0.25">
      <c r="A188" s="15" t="s">
        <v>1025</v>
      </c>
      <c r="B188" s="16" t="s">
        <v>49</v>
      </c>
      <c r="C188" s="15">
        <v>9100541</v>
      </c>
      <c r="D188" s="16" t="s">
        <v>215</v>
      </c>
      <c r="E188" s="15" t="s">
        <v>1026</v>
      </c>
      <c r="F188" s="21" t="str">
        <f>HYPERLINK("https://psearch.kitsapgov.com/webappa/index.html?parcelID=1139328&amp;Theme=Imagery","1139328")</f>
        <v>1139328</v>
      </c>
      <c r="G188" s="16" t="s">
        <v>1027</v>
      </c>
      <c r="H188" s="17">
        <v>42367</v>
      </c>
      <c r="I188" s="18">
        <v>260000</v>
      </c>
      <c r="J188" s="19">
        <v>0.08</v>
      </c>
      <c r="K188" s="16" t="s">
        <v>296</v>
      </c>
      <c r="L188" s="16" t="s">
        <v>38</v>
      </c>
      <c r="M188" s="16" t="s">
        <v>1028</v>
      </c>
      <c r="N188" s="16" t="s">
        <v>1029</v>
      </c>
    </row>
    <row r="189" spans="1:14" ht="20.100000000000001" customHeight="1" x14ac:dyDescent="0.25">
      <c r="A189" s="15" t="s">
        <v>1030</v>
      </c>
      <c r="B189" s="16" t="s">
        <v>1031</v>
      </c>
      <c r="C189" s="15">
        <v>8401508</v>
      </c>
      <c r="D189" s="16" t="s">
        <v>90</v>
      </c>
      <c r="E189" s="15" t="s">
        <v>1032</v>
      </c>
      <c r="F189" s="21" t="str">
        <f>HYPERLINK("https://psearch.kitsapgov.com/webappa/index.html?parcelID=1990878&amp;Theme=Imagery","1990878")</f>
        <v>1990878</v>
      </c>
      <c r="G189" s="16" t="s">
        <v>1033</v>
      </c>
      <c r="H189" s="17">
        <v>42369</v>
      </c>
      <c r="I189" s="18">
        <v>2250000</v>
      </c>
      <c r="J189" s="19">
        <v>5.44</v>
      </c>
      <c r="K189" s="16" t="s">
        <v>78</v>
      </c>
      <c r="L189" s="16" t="s">
        <v>79</v>
      </c>
      <c r="M189" s="16" t="s">
        <v>1034</v>
      </c>
      <c r="N189" s="16" t="s">
        <v>1035</v>
      </c>
    </row>
    <row r="190" spans="1:14" ht="20.100000000000001" customHeight="1" x14ac:dyDescent="0.25">
      <c r="A190" s="15" t="s">
        <v>1036</v>
      </c>
      <c r="B190" s="16" t="s">
        <v>1037</v>
      </c>
      <c r="C190" s="15">
        <v>8100501</v>
      </c>
      <c r="D190" s="16" t="s">
        <v>117</v>
      </c>
      <c r="E190" s="15" t="s">
        <v>1038</v>
      </c>
      <c r="F190" s="21" t="str">
        <f>HYPERLINK("https://psearch.kitsapgov.com/webappa/index.html?parcelID=1426675&amp;Theme=Imagery","1426675")</f>
        <v>1426675</v>
      </c>
      <c r="G190" s="16" t="s">
        <v>1039</v>
      </c>
      <c r="H190" s="17">
        <v>42367</v>
      </c>
      <c r="I190" s="18">
        <v>200000</v>
      </c>
      <c r="J190" s="19">
        <v>0.14000000000000001</v>
      </c>
      <c r="K190" s="16" t="s">
        <v>120</v>
      </c>
      <c r="L190" s="16" t="s">
        <v>29</v>
      </c>
      <c r="M190" s="16" t="s">
        <v>1040</v>
      </c>
      <c r="N190" s="16" t="s">
        <v>1041</v>
      </c>
    </row>
    <row r="191" spans="1:14" ht="20.100000000000001" customHeight="1" x14ac:dyDescent="0.25">
      <c r="A191" s="15" t="s">
        <v>1042</v>
      </c>
      <c r="B191" s="16" t="s">
        <v>214</v>
      </c>
      <c r="C191" s="15">
        <v>9100541</v>
      </c>
      <c r="D191" s="16" t="s">
        <v>215</v>
      </c>
      <c r="E191" s="15" t="s">
        <v>1043</v>
      </c>
      <c r="F191" s="21" t="str">
        <f>HYPERLINK("https://psearch.kitsapgov.com/webappa/index.html?parcelID=1467885&amp;Theme=Imagery","1467885")</f>
        <v>1467885</v>
      </c>
      <c r="G191" s="16" t="s">
        <v>1044</v>
      </c>
      <c r="H191" s="17">
        <v>42376</v>
      </c>
      <c r="I191" s="18">
        <v>360000</v>
      </c>
      <c r="J191" s="19">
        <v>0.06</v>
      </c>
      <c r="K191" s="16" t="s">
        <v>235</v>
      </c>
      <c r="L191" s="16" t="s">
        <v>38</v>
      </c>
      <c r="M191" s="16" t="s">
        <v>1045</v>
      </c>
      <c r="N191" s="16" t="s">
        <v>1046</v>
      </c>
    </row>
    <row r="192" spans="1:14" ht="20.100000000000001" customHeight="1" x14ac:dyDescent="0.25">
      <c r="A192" s="15" t="s">
        <v>1047</v>
      </c>
      <c r="B192" s="16" t="s">
        <v>89</v>
      </c>
      <c r="C192" s="15">
        <v>8401102</v>
      </c>
      <c r="D192" s="16" t="s">
        <v>766</v>
      </c>
      <c r="E192" s="15" t="s">
        <v>1048</v>
      </c>
      <c r="F192" s="21" t="str">
        <f>HYPERLINK("https://psearch.kitsapgov.com/webappa/index.html?parcelID=1245927&amp;Theme=Imagery","1245927")</f>
        <v>1245927</v>
      </c>
      <c r="G192" s="16" t="s">
        <v>1049</v>
      </c>
      <c r="H192" s="17">
        <v>42380</v>
      </c>
      <c r="I192" s="18">
        <v>280000</v>
      </c>
      <c r="J192" s="19">
        <v>0.11</v>
      </c>
      <c r="K192" s="16" t="s">
        <v>188</v>
      </c>
      <c r="L192" s="16" t="s">
        <v>38</v>
      </c>
      <c r="M192" s="16" t="s">
        <v>1050</v>
      </c>
      <c r="N192" s="16" t="s">
        <v>1051</v>
      </c>
    </row>
    <row r="193" spans="1:14" ht="20.100000000000001" customHeight="1" x14ac:dyDescent="0.25">
      <c r="A193" s="15" t="s">
        <v>1052</v>
      </c>
      <c r="B193" s="16" t="s">
        <v>442</v>
      </c>
      <c r="C193" s="15">
        <v>8401101</v>
      </c>
      <c r="D193" s="16" t="s">
        <v>185</v>
      </c>
      <c r="E193" s="15" t="s">
        <v>1053</v>
      </c>
      <c r="F193" s="21" t="str">
        <f>HYPERLINK("https://psearch.kitsapgov.com/webappa/index.html?parcelID=1941368&amp;Theme=Imagery","1941368")</f>
        <v>1941368</v>
      </c>
      <c r="G193" s="16" t="s">
        <v>1054</v>
      </c>
      <c r="H193" s="17">
        <v>42165</v>
      </c>
      <c r="I193" s="18">
        <v>1638000</v>
      </c>
      <c r="J193" s="19">
        <v>0.62</v>
      </c>
      <c r="K193" s="16" t="s">
        <v>188</v>
      </c>
      <c r="L193" s="16" t="s">
        <v>38</v>
      </c>
      <c r="M193" s="16" t="s">
        <v>1055</v>
      </c>
      <c r="N193" s="16" t="s">
        <v>1056</v>
      </c>
    </row>
    <row r="194" spans="1:14" ht="20.100000000000001" customHeight="1" x14ac:dyDescent="0.25">
      <c r="A194" s="15" t="s">
        <v>1057</v>
      </c>
      <c r="B194" s="16" t="s">
        <v>318</v>
      </c>
      <c r="C194" s="15">
        <v>8402391</v>
      </c>
      <c r="D194" s="16" t="s">
        <v>227</v>
      </c>
      <c r="E194" s="15" t="s">
        <v>1058</v>
      </c>
      <c r="F194" s="21" t="str">
        <f>HYPERLINK("https://psearch.kitsapgov.com/webappa/index.html?parcelID=2455871&amp;Theme=Imagery","2455871")</f>
        <v>2455871</v>
      </c>
      <c r="G194" s="16" t="s">
        <v>1059</v>
      </c>
      <c r="H194" s="17">
        <v>42381</v>
      </c>
      <c r="I194" s="18">
        <v>40000</v>
      </c>
      <c r="J194" s="19">
        <v>0</v>
      </c>
      <c r="L194" s="16" t="s">
        <v>290</v>
      </c>
      <c r="M194" s="16" t="s">
        <v>1060</v>
      </c>
      <c r="N194" s="16" t="s">
        <v>1061</v>
      </c>
    </row>
    <row r="195" spans="1:14" ht="20.100000000000001" customHeight="1" x14ac:dyDescent="0.25">
      <c r="A195" s="15" t="s">
        <v>1062</v>
      </c>
      <c r="B195" s="16" t="s">
        <v>89</v>
      </c>
      <c r="C195" s="15">
        <v>8303601</v>
      </c>
      <c r="D195" s="16" t="s">
        <v>50</v>
      </c>
      <c r="E195" s="15" t="s">
        <v>1063</v>
      </c>
      <c r="F195" s="21" t="str">
        <f>HYPERLINK("https://psearch.kitsapgov.com/webappa/index.html?parcelID=1306224&amp;Theme=Imagery","1306224")</f>
        <v>1306224</v>
      </c>
      <c r="G195" s="16" t="s">
        <v>1064</v>
      </c>
      <c r="H195" s="17">
        <v>42380</v>
      </c>
      <c r="I195" s="18">
        <v>1725000</v>
      </c>
      <c r="J195" s="19">
        <v>0.23</v>
      </c>
      <c r="K195" s="16" t="s">
        <v>326</v>
      </c>
      <c r="L195" s="16" t="s">
        <v>79</v>
      </c>
      <c r="M195" s="16" t="s">
        <v>1065</v>
      </c>
      <c r="N195" s="16" t="s">
        <v>1066</v>
      </c>
    </row>
    <row r="196" spans="1:14" ht="20.100000000000001" customHeight="1" x14ac:dyDescent="0.25">
      <c r="A196" s="15" t="s">
        <v>1067</v>
      </c>
      <c r="B196" s="16" t="s">
        <v>96</v>
      </c>
      <c r="C196" s="15">
        <v>9100541</v>
      </c>
      <c r="D196" s="16" t="s">
        <v>215</v>
      </c>
      <c r="E196" s="15" t="s">
        <v>1068</v>
      </c>
      <c r="F196" s="21" t="str">
        <f>HYPERLINK("https://psearch.kitsapgov.com/webappa/index.html?parcelID=1464932&amp;Theme=Imagery","1464932")</f>
        <v>1464932</v>
      </c>
      <c r="G196" s="16" t="s">
        <v>1069</v>
      </c>
      <c r="H196" s="17">
        <v>42390</v>
      </c>
      <c r="I196" s="18">
        <v>233290</v>
      </c>
      <c r="J196" s="19">
        <v>0.23</v>
      </c>
      <c r="K196" s="16" t="s">
        <v>1070</v>
      </c>
      <c r="L196" s="16" t="s">
        <v>20</v>
      </c>
      <c r="M196" s="16" t="s">
        <v>1071</v>
      </c>
      <c r="N196" s="16" t="s">
        <v>1072</v>
      </c>
    </row>
    <row r="197" spans="1:14" ht="20.100000000000001" customHeight="1" x14ac:dyDescent="0.25">
      <c r="A197" s="15" t="s">
        <v>1073</v>
      </c>
      <c r="B197" s="16" t="s">
        <v>124</v>
      </c>
      <c r="C197" s="15">
        <v>9402390</v>
      </c>
      <c r="D197" s="16" t="s">
        <v>271</v>
      </c>
      <c r="E197" s="15" t="s">
        <v>957</v>
      </c>
      <c r="F197" s="21" t="str">
        <f>HYPERLINK("https://psearch.kitsapgov.com/webappa/index.html?parcelID=1502327&amp;Theme=Imagery","1502327")</f>
        <v>1502327</v>
      </c>
      <c r="G197" s="16" t="s">
        <v>958</v>
      </c>
      <c r="H197" s="17">
        <v>42390</v>
      </c>
      <c r="I197" s="18">
        <v>145000</v>
      </c>
      <c r="J197" s="19">
        <v>0.67</v>
      </c>
      <c r="K197" s="16" t="s">
        <v>108</v>
      </c>
      <c r="L197" s="16" t="s">
        <v>38</v>
      </c>
      <c r="M197" s="16" t="s">
        <v>1074</v>
      </c>
      <c r="N197" s="16" t="s">
        <v>1075</v>
      </c>
    </row>
    <row r="198" spans="1:14" ht="20.100000000000001" customHeight="1" x14ac:dyDescent="0.25">
      <c r="A198" s="15" t="s">
        <v>1076</v>
      </c>
      <c r="B198" s="16" t="s">
        <v>393</v>
      </c>
      <c r="C198" s="15">
        <v>8401103</v>
      </c>
      <c r="D198" s="16" t="s">
        <v>826</v>
      </c>
      <c r="E198" s="15" t="s">
        <v>1077</v>
      </c>
      <c r="F198" s="21" t="str">
        <f>HYPERLINK("https://psearch.kitsapgov.com/webappa/index.html?parcelID=2240497&amp;Theme=Imagery","2240497")</f>
        <v>2240497</v>
      </c>
      <c r="G198" s="16" t="s">
        <v>1078</v>
      </c>
      <c r="H198" s="17">
        <v>42398</v>
      </c>
      <c r="I198" s="18">
        <v>37500000</v>
      </c>
      <c r="J198" s="19">
        <v>14.59</v>
      </c>
      <c r="K198" s="16" t="s">
        <v>708</v>
      </c>
      <c r="L198" s="16" t="s">
        <v>38</v>
      </c>
      <c r="M198" s="16" t="s">
        <v>1079</v>
      </c>
      <c r="N198" s="16" t="s">
        <v>1080</v>
      </c>
    </row>
    <row r="199" spans="1:14" ht="20.100000000000001" customHeight="1" x14ac:dyDescent="0.25">
      <c r="A199" s="15" t="s">
        <v>1081</v>
      </c>
      <c r="B199" s="16" t="s">
        <v>96</v>
      </c>
      <c r="C199" s="15">
        <v>8303601</v>
      </c>
      <c r="D199" s="16" t="s">
        <v>50</v>
      </c>
      <c r="E199" s="15" t="s">
        <v>1082</v>
      </c>
      <c r="F199" s="21" t="str">
        <f>HYPERLINK("https://psearch.kitsapgov.com/webappa/index.html?parcelID=1305119&amp;Theme=Imagery","1305119")</f>
        <v>1305119</v>
      </c>
      <c r="G199" s="16" t="s">
        <v>1083</v>
      </c>
      <c r="H199" s="17">
        <v>42394</v>
      </c>
      <c r="I199" s="18">
        <v>661264</v>
      </c>
      <c r="J199" s="19">
        <v>0.28000000000000003</v>
      </c>
      <c r="K199" s="16" t="s">
        <v>205</v>
      </c>
      <c r="L199" s="16" t="s">
        <v>20</v>
      </c>
      <c r="M199" s="16" t="s">
        <v>1084</v>
      </c>
      <c r="N199" s="16" t="s">
        <v>1085</v>
      </c>
    </row>
    <row r="200" spans="1:14" ht="20.100000000000001" customHeight="1" x14ac:dyDescent="0.25">
      <c r="A200" s="15" t="s">
        <v>1086</v>
      </c>
      <c r="B200" s="16" t="s">
        <v>96</v>
      </c>
      <c r="C200" s="15">
        <v>8303601</v>
      </c>
      <c r="D200" s="16" t="s">
        <v>50</v>
      </c>
      <c r="E200" s="15" t="s">
        <v>1082</v>
      </c>
      <c r="F200" s="21" t="str">
        <f>HYPERLINK("https://psearch.kitsapgov.com/webappa/index.html?parcelID=1305119&amp;Theme=Imagery","1305119")</f>
        <v>1305119</v>
      </c>
      <c r="G200" s="16" t="s">
        <v>1083</v>
      </c>
      <c r="H200" s="17">
        <v>42394</v>
      </c>
      <c r="I200" s="18">
        <v>954310</v>
      </c>
      <c r="J200" s="19">
        <v>0.28000000000000003</v>
      </c>
      <c r="K200" s="16" t="s">
        <v>205</v>
      </c>
      <c r="L200" s="16" t="s">
        <v>20</v>
      </c>
      <c r="M200" s="16" t="s">
        <v>1085</v>
      </c>
      <c r="N200" s="16" t="s">
        <v>1087</v>
      </c>
    </row>
    <row r="201" spans="1:14" ht="20.100000000000001" customHeight="1" x14ac:dyDescent="0.25">
      <c r="A201" s="15" t="s">
        <v>1088</v>
      </c>
      <c r="B201" s="16" t="s">
        <v>49</v>
      </c>
      <c r="C201" s="15">
        <v>8402306</v>
      </c>
      <c r="D201" s="16" t="s">
        <v>34</v>
      </c>
      <c r="E201" s="15" t="s">
        <v>1089</v>
      </c>
      <c r="F201" s="21" t="str">
        <f>HYPERLINK("https://psearch.kitsapgov.com/webappa/index.html?parcelID=1738327&amp;Theme=Imagery","1738327")</f>
        <v>1738327</v>
      </c>
      <c r="G201" s="16" t="s">
        <v>1090</v>
      </c>
      <c r="H201" s="17">
        <v>42390</v>
      </c>
      <c r="I201" s="18">
        <v>125000</v>
      </c>
      <c r="J201" s="19">
        <v>0.17</v>
      </c>
      <c r="K201" s="16" t="s">
        <v>583</v>
      </c>
      <c r="L201" s="16" t="s">
        <v>38</v>
      </c>
      <c r="M201" s="16" t="s">
        <v>1091</v>
      </c>
      <c r="N201" s="16" t="s">
        <v>1092</v>
      </c>
    </row>
    <row r="202" spans="1:14" ht="20.100000000000001" customHeight="1" x14ac:dyDescent="0.25">
      <c r="A202" s="15" t="s">
        <v>1093</v>
      </c>
      <c r="B202" s="16" t="s">
        <v>407</v>
      </c>
      <c r="C202" s="15">
        <v>8402305</v>
      </c>
      <c r="D202" s="16" t="s">
        <v>259</v>
      </c>
      <c r="E202" s="15" t="s">
        <v>1094</v>
      </c>
      <c r="F202" s="21" t="str">
        <f>HYPERLINK("https://psearch.kitsapgov.com/webappa/index.html?parcelID=2488062&amp;Theme=Imagery","2488062")</f>
        <v>2488062</v>
      </c>
      <c r="G202" s="16" t="s">
        <v>1095</v>
      </c>
      <c r="H202" s="17">
        <v>42402</v>
      </c>
      <c r="I202" s="18">
        <v>205000</v>
      </c>
      <c r="J202" s="19">
        <v>0</v>
      </c>
      <c r="L202" s="16" t="s">
        <v>38</v>
      </c>
      <c r="M202" s="16" t="s">
        <v>1096</v>
      </c>
      <c r="N202" s="16" t="s">
        <v>1097</v>
      </c>
    </row>
    <row r="203" spans="1:14" ht="20.100000000000001" customHeight="1" x14ac:dyDescent="0.25">
      <c r="A203" s="15" t="s">
        <v>1098</v>
      </c>
      <c r="B203" s="16" t="s">
        <v>214</v>
      </c>
      <c r="C203" s="15">
        <v>9100541</v>
      </c>
      <c r="D203" s="16" t="s">
        <v>215</v>
      </c>
      <c r="E203" s="15" t="s">
        <v>1099</v>
      </c>
      <c r="F203" s="21" t="str">
        <f>HYPERLINK("https://psearch.kitsapgov.com/webappa/index.html?parcelID=2577344&amp;Theme=Imagery","2577344")</f>
        <v>2577344</v>
      </c>
      <c r="G203" s="16" t="s">
        <v>1100</v>
      </c>
      <c r="H203" s="17">
        <v>42402</v>
      </c>
      <c r="I203" s="18">
        <v>360000</v>
      </c>
      <c r="J203" s="19">
        <v>0.09</v>
      </c>
      <c r="K203" s="16" t="s">
        <v>296</v>
      </c>
      <c r="L203" s="16" t="s">
        <v>20</v>
      </c>
      <c r="M203" s="16" t="s">
        <v>1101</v>
      </c>
      <c r="N203" s="16" t="s">
        <v>1102</v>
      </c>
    </row>
    <row r="204" spans="1:14" ht="20.100000000000001" customHeight="1" x14ac:dyDescent="0.25">
      <c r="A204" s="15" t="s">
        <v>1103</v>
      </c>
      <c r="B204" s="16" t="s">
        <v>124</v>
      </c>
      <c r="C204" s="15">
        <v>9100541</v>
      </c>
      <c r="D204" s="16" t="s">
        <v>215</v>
      </c>
      <c r="E204" s="15" t="s">
        <v>1104</v>
      </c>
      <c r="F204" s="21" t="str">
        <f>HYPERLINK("https://psearch.kitsapgov.com/webappa/index.html?parcelID=1149814&amp;Theme=Imagery","1149814")</f>
        <v>1149814</v>
      </c>
      <c r="G204" s="16" t="s">
        <v>1105</v>
      </c>
      <c r="H204" s="17">
        <v>42404</v>
      </c>
      <c r="I204" s="18">
        <v>360000</v>
      </c>
      <c r="J204" s="19">
        <v>0.26</v>
      </c>
      <c r="K204" s="16" t="s">
        <v>235</v>
      </c>
      <c r="L204" s="16" t="s">
        <v>38</v>
      </c>
      <c r="M204" s="16" t="s">
        <v>1106</v>
      </c>
      <c r="N204" s="16" t="s">
        <v>1107</v>
      </c>
    </row>
    <row r="205" spans="1:14" ht="20.100000000000001" customHeight="1" x14ac:dyDescent="0.25">
      <c r="A205" s="15" t="s">
        <v>1108</v>
      </c>
      <c r="B205" s="16" t="s">
        <v>1109</v>
      </c>
      <c r="C205" s="15">
        <v>8402306</v>
      </c>
      <c r="D205" s="16" t="s">
        <v>34</v>
      </c>
      <c r="E205" s="15" t="s">
        <v>1110</v>
      </c>
      <c r="F205" s="21" t="str">
        <f>HYPERLINK("https://psearch.kitsapgov.com/webappa/index.html?parcelID=1738715&amp;Theme=Imagery","1738715")</f>
        <v>1738715</v>
      </c>
      <c r="G205" s="16" t="s">
        <v>1111</v>
      </c>
      <c r="H205" s="17">
        <v>42410</v>
      </c>
      <c r="I205" s="18">
        <v>250000</v>
      </c>
      <c r="J205" s="19">
        <v>0.08</v>
      </c>
      <c r="K205" s="16" t="s">
        <v>37</v>
      </c>
      <c r="L205" s="16" t="s">
        <v>856</v>
      </c>
      <c r="M205" s="16" t="s">
        <v>1112</v>
      </c>
      <c r="N205" s="16" t="s">
        <v>1113</v>
      </c>
    </row>
    <row r="206" spans="1:14" ht="20.100000000000001" customHeight="1" x14ac:dyDescent="0.25">
      <c r="A206" s="15" t="s">
        <v>1114</v>
      </c>
      <c r="B206" s="16" t="s">
        <v>57</v>
      </c>
      <c r="C206" s="15">
        <v>8400204</v>
      </c>
      <c r="D206" s="16" t="s">
        <v>178</v>
      </c>
      <c r="E206" s="15" t="s">
        <v>1115</v>
      </c>
      <c r="F206" s="21" t="str">
        <f>HYPERLINK("https://psearch.kitsapgov.com/webappa/index.html?parcelID=2140556&amp;Theme=Imagery","2140556")</f>
        <v>2140556</v>
      </c>
      <c r="G206" s="16" t="s">
        <v>1116</v>
      </c>
      <c r="H206" s="17">
        <v>42411</v>
      </c>
      <c r="I206" s="18">
        <v>16000</v>
      </c>
      <c r="J206" s="19">
        <v>0.68</v>
      </c>
      <c r="K206" s="16" t="s">
        <v>136</v>
      </c>
      <c r="L206" s="16" t="s">
        <v>20</v>
      </c>
      <c r="M206" s="16" t="s">
        <v>1117</v>
      </c>
      <c r="N206" s="16" t="s">
        <v>1118</v>
      </c>
    </row>
    <row r="207" spans="1:14" ht="20.100000000000001" customHeight="1" x14ac:dyDescent="0.25">
      <c r="A207" s="15" t="s">
        <v>1119</v>
      </c>
      <c r="B207" s="16" t="s">
        <v>33</v>
      </c>
      <c r="C207" s="15">
        <v>9100541</v>
      </c>
      <c r="D207" s="16" t="s">
        <v>215</v>
      </c>
      <c r="E207" s="15" t="s">
        <v>1120</v>
      </c>
      <c r="F207" s="21" t="str">
        <f>HYPERLINK("https://psearch.kitsapgov.com/webappa/index.html?parcelID=1424969&amp;Theme=Imagery","1424969")</f>
        <v>1424969</v>
      </c>
      <c r="G207" s="16" t="s">
        <v>1121</v>
      </c>
      <c r="H207" s="17">
        <v>42411</v>
      </c>
      <c r="I207" s="18">
        <v>350000</v>
      </c>
      <c r="J207" s="19">
        <v>0.13</v>
      </c>
      <c r="K207" s="16" t="s">
        <v>235</v>
      </c>
      <c r="L207" s="16" t="s">
        <v>38</v>
      </c>
      <c r="M207" s="16" t="s">
        <v>1122</v>
      </c>
      <c r="N207" s="16" t="s">
        <v>1123</v>
      </c>
    </row>
    <row r="208" spans="1:14" ht="20.100000000000001" customHeight="1" x14ac:dyDescent="0.25">
      <c r="A208" s="15" t="s">
        <v>1124</v>
      </c>
      <c r="B208" s="16" t="s">
        <v>89</v>
      </c>
      <c r="C208" s="15">
        <v>8402307</v>
      </c>
      <c r="D208" s="16" t="s">
        <v>151</v>
      </c>
      <c r="E208" s="15" t="s">
        <v>1125</v>
      </c>
      <c r="F208" s="21" t="str">
        <f>HYPERLINK("https://psearch.kitsapgov.com/webappa/index.html?parcelID=2430940&amp;Theme=Imagery","2430940")</f>
        <v>2430940</v>
      </c>
      <c r="G208" s="16" t="s">
        <v>1126</v>
      </c>
      <c r="H208" s="17">
        <v>42416</v>
      </c>
      <c r="I208" s="18">
        <v>710000</v>
      </c>
      <c r="J208" s="19">
        <v>0.22</v>
      </c>
      <c r="K208" s="16" t="s">
        <v>154</v>
      </c>
      <c r="L208" s="16" t="s">
        <v>38</v>
      </c>
      <c r="M208" s="16" t="s">
        <v>1127</v>
      </c>
      <c r="N208" s="16" t="s">
        <v>1128</v>
      </c>
    </row>
    <row r="209" spans="1:14" ht="20.100000000000001" customHeight="1" x14ac:dyDescent="0.25">
      <c r="A209" s="15" t="s">
        <v>1129</v>
      </c>
      <c r="B209" s="16" t="s">
        <v>49</v>
      </c>
      <c r="C209" s="15">
        <v>9100591</v>
      </c>
      <c r="D209" s="16" t="s">
        <v>848</v>
      </c>
      <c r="E209" s="15" t="s">
        <v>1130</v>
      </c>
      <c r="F209" s="21" t="str">
        <f>HYPERLINK("https://psearch.kitsapgov.com/webappa/index.html?parcelID=1673573&amp;Theme=Imagery","1673573")</f>
        <v>1673573</v>
      </c>
      <c r="G209" s="16" t="s">
        <v>433</v>
      </c>
      <c r="H209" s="17">
        <v>42422</v>
      </c>
      <c r="I209" s="18">
        <v>110000</v>
      </c>
      <c r="J209" s="19">
        <v>0.12</v>
      </c>
      <c r="K209" s="16" t="s">
        <v>61</v>
      </c>
      <c r="L209" s="16" t="s">
        <v>79</v>
      </c>
      <c r="M209" s="16" t="s">
        <v>1131</v>
      </c>
      <c r="N209" s="16" t="s">
        <v>1132</v>
      </c>
    </row>
    <row r="210" spans="1:14" ht="20.100000000000001" customHeight="1" x14ac:dyDescent="0.25">
      <c r="A210" s="15" t="s">
        <v>1133</v>
      </c>
      <c r="B210" s="16" t="s">
        <v>602</v>
      </c>
      <c r="C210" s="15">
        <v>8400302</v>
      </c>
      <c r="D210" s="16" t="s">
        <v>133</v>
      </c>
      <c r="E210" s="15" t="s">
        <v>1134</v>
      </c>
      <c r="F210" s="21" t="str">
        <f>HYPERLINK("https://psearch.kitsapgov.com/webappa/index.html?parcelID=2461713&amp;Theme=Imagery","2461713")</f>
        <v>2461713</v>
      </c>
      <c r="G210" s="16" t="s">
        <v>1135</v>
      </c>
      <c r="H210" s="17">
        <v>42411</v>
      </c>
      <c r="I210" s="18">
        <v>320000</v>
      </c>
      <c r="J210" s="19">
        <v>0.09</v>
      </c>
      <c r="K210" s="16" t="s">
        <v>309</v>
      </c>
      <c r="L210" s="16" t="s">
        <v>38</v>
      </c>
      <c r="M210" s="16" t="s">
        <v>1136</v>
      </c>
      <c r="N210" s="16" t="s">
        <v>1137</v>
      </c>
    </row>
    <row r="211" spans="1:14" ht="20.100000000000001" customHeight="1" x14ac:dyDescent="0.25">
      <c r="A211" s="15" t="s">
        <v>1138</v>
      </c>
      <c r="B211" s="16" t="s">
        <v>239</v>
      </c>
      <c r="C211" s="15">
        <v>8400301</v>
      </c>
      <c r="D211" s="16" t="s">
        <v>1139</v>
      </c>
      <c r="E211" s="15" t="s">
        <v>1140</v>
      </c>
      <c r="F211" s="21" t="str">
        <f>HYPERLINK("https://psearch.kitsapgov.com/webappa/index.html?parcelID=1582808&amp;Theme=Imagery","1582808")</f>
        <v>1582808</v>
      </c>
      <c r="G211" s="16" t="s">
        <v>1141</v>
      </c>
      <c r="H211" s="17">
        <v>42418</v>
      </c>
      <c r="I211" s="18">
        <v>275000</v>
      </c>
      <c r="J211" s="19">
        <v>0.22</v>
      </c>
      <c r="K211" s="16" t="s">
        <v>1142</v>
      </c>
      <c r="L211" s="16" t="s">
        <v>38</v>
      </c>
      <c r="M211" s="16" t="s">
        <v>1143</v>
      </c>
      <c r="N211" s="16" t="s">
        <v>1144</v>
      </c>
    </row>
    <row r="212" spans="1:14" ht="20.100000000000001" customHeight="1" x14ac:dyDescent="0.25">
      <c r="A212" s="15" t="s">
        <v>1145</v>
      </c>
      <c r="B212" s="16" t="s">
        <v>286</v>
      </c>
      <c r="C212" s="15">
        <v>8400206</v>
      </c>
      <c r="D212" s="16" t="s">
        <v>287</v>
      </c>
      <c r="E212" s="15" t="s">
        <v>1146</v>
      </c>
      <c r="F212" s="21" t="str">
        <f>HYPERLINK("https://psearch.kitsapgov.com/webappa/index.html?parcelID=2071074&amp;Theme=Imagery","2071074")</f>
        <v>2071074</v>
      </c>
      <c r="G212" s="16" t="s">
        <v>1147</v>
      </c>
      <c r="H212" s="17">
        <v>42424</v>
      </c>
      <c r="I212" s="18">
        <v>25000</v>
      </c>
      <c r="J212" s="19">
        <v>0</v>
      </c>
      <c r="L212" s="16" t="s">
        <v>29</v>
      </c>
      <c r="M212" s="16" t="s">
        <v>1148</v>
      </c>
      <c r="N212" s="16" t="s">
        <v>1149</v>
      </c>
    </row>
    <row r="213" spans="1:14" ht="20.100000000000001" customHeight="1" x14ac:dyDescent="0.25">
      <c r="A213" s="15" t="s">
        <v>1150</v>
      </c>
      <c r="B213" s="16" t="s">
        <v>89</v>
      </c>
      <c r="C213" s="15">
        <v>8402307</v>
      </c>
      <c r="D213" s="16" t="s">
        <v>151</v>
      </c>
      <c r="E213" s="15" t="s">
        <v>1151</v>
      </c>
      <c r="F213" s="21" t="str">
        <f>HYPERLINK("https://psearch.kitsapgov.com/webappa/index.html?parcelID=2374387&amp;Theme=Imagery","2374387")</f>
        <v>2374387</v>
      </c>
      <c r="G213" s="16" t="s">
        <v>1152</v>
      </c>
      <c r="H213" s="17">
        <v>42411</v>
      </c>
      <c r="I213" s="18">
        <v>5175000</v>
      </c>
      <c r="J213" s="19">
        <v>1.79</v>
      </c>
      <c r="K213" s="16" t="s">
        <v>154</v>
      </c>
      <c r="L213" s="16" t="s">
        <v>20</v>
      </c>
      <c r="M213" s="16" t="s">
        <v>1153</v>
      </c>
      <c r="N213" s="16" t="s">
        <v>1154</v>
      </c>
    </row>
    <row r="214" spans="1:14" ht="20.100000000000001" customHeight="1" x14ac:dyDescent="0.25">
      <c r="A214" s="15" t="s">
        <v>1155</v>
      </c>
      <c r="B214" s="16" t="s">
        <v>124</v>
      </c>
      <c r="C214" s="15">
        <v>9402390</v>
      </c>
      <c r="D214" s="16" t="s">
        <v>271</v>
      </c>
      <c r="E214" s="15" t="s">
        <v>1156</v>
      </c>
      <c r="F214" s="21" t="str">
        <f>HYPERLINK("https://psearch.kitsapgov.com/webappa/index.html?parcelID=1507177&amp;Theme=Imagery","1507177")</f>
        <v>1507177</v>
      </c>
      <c r="G214" s="16" t="s">
        <v>1157</v>
      </c>
      <c r="H214" s="17">
        <v>42424</v>
      </c>
      <c r="I214" s="18">
        <v>356750</v>
      </c>
      <c r="J214" s="19">
        <v>0.21</v>
      </c>
      <c r="K214" s="16" t="s">
        <v>274</v>
      </c>
      <c r="L214" s="16" t="s">
        <v>38</v>
      </c>
      <c r="M214" s="16" t="s">
        <v>1158</v>
      </c>
      <c r="N214" s="16" t="s">
        <v>1159</v>
      </c>
    </row>
    <row r="215" spans="1:14" ht="20.100000000000001" customHeight="1" x14ac:dyDescent="0.25">
      <c r="A215" s="15" t="s">
        <v>1160</v>
      </c>
      <c r="B215" s="16" t="s">
        <v>1161</v>
      </c>
      <c r="C215" s="15">
        <v>8401102</v>
      </c>
      <c r="D215" s="16" t="s">
        <v>766</v>
      </c>
      <c r="E215" s="15" t="s">
        <v>1162</v>
      </c>
      <c r="F215" s="21" t="str">
        <f>HYPERLINK("https://psearch.kitsapgov.com/webappa/index.html?parcelID=2506145&amp;Theme=Imagery","2506145")</f>
        <v>2506145</v>
      </c>
      <c r="G215" s="16" t="s">
        <v>1163</v>
      </c>
      <c r="H215" s="17">
        <v>42422</v>
      </c>
      <c r="I215" s="18">
        <v>260000</v>
      </c>
      <c r="J215" s="19">
        <v>0.28999999999999998</v>
      </c>
      <c r="K215" s="16" t="s">
        <v>708</v>
      </c>
      <c r="L215" s="16" t="s">
        <v>38</v>
      </c>
      <c r="M215" s="16" t="s">
        <v>769</v>
      </c>
      <c r="N215" s="16" t="s">
        <v>1164</v>
      </c>
    </row>
    <row r="216" spans="1:14" ht="20.100000000000001" customHeight="1" x14ac:dyDescent="0.25">
      <c r="A216" s="15" t="s">
        <v>1165</v>
      </c>
      <c r="B216" s="16" t="s">
        <v>368</v>
      </c>
      <c r="C216" s="15">
        <v>8401509</v>
      </c>
      <c r="D216" s="16" t="s">
        <v>1166</v>
      </c>
      <c r="E216" s="15" t="s">
        <v>1167</v>
      </c>
      <c r="F216" s="21" t="str">
        <f>HYPERLINK("https://psearch.kitsapgov.com/webappa/index.html?parcelID=2296226&amp;Theme=Imagery","2296226")</f>
        <v>2296226</v>
      </c>
      <c r="G216" s="16" t="s">
        <v>1168</v>
      </c>
      <c r="H216" s="17">
        <v>42419</v>
      </c>
      <c r="I216" s="18">
        <v>1525</v>
      </c>
      <c r="J216" s="19">
        <v>0.81</v>
      </c>
      <c r="K216" s="16" t="s">
        <v>309</v>
      </c>
      <c r="L216" s="16" t="s">
        <v>1169</v>
      </c>
      <c r="M216" s="16" t="s">
        <v>1170</v>
      </c>
      <c r="N216" s="16" t="s">
        <v>710</v>
      </c>
    </row>
    <row r="217" spans="1:14" ht="20.100000000000001" customHeight="1" x14ac:dyDescent="0.25">
      <c r="A217" s="15" t="s">
        <v>1171</v>
      </c>
      <c r="B217" s="16" t="s">
        <v>66</v>
      </c>
      <c r="C217" s="15">
        <v>8100510</v>
      </c>
      <c r="D217" s="16" t="s">
        <v>401</v>
      </c>
      <c r="E217" s="15" t="s">
        <v>1172</v>
      </c>
      <c r="F217" s="21" t="str">
        <f>HYPERLINK("https://psearch.kitsapgov.com/webappa/index.html?parcelID=1438365&amp;Theme=Imagery","1438365")</f>
        <v>1438365</v>
      </c>
      <c r="G217" s="16" t="s">
        <v>1173</v>
      </c>
      <c r="H217" s="17">
        <v>42426</v>
      </c>
      <c r="I217" s="18">
        <v>180000</v>
      </c>
      <c r="J217" s="19">
        <v>0.1</v>
      </c>
      <c r="K217" s="16" t="s">
        <v>28</v>
      </c>
      <c r="L217" s="16" t="s">
        <v>79</v>
      </c>
      <c r="M217" s="16" t="s">
        <v>1174</v>
      </c>
      <c r="N217" s="16" t="s">
        <v>1175</v>
      </c>
    </row>
    <row r="218" spans="1:14" ht="20.100000000000001" customHeight="1" x14ac:dyDescent="0.25">
      <c r="A218" s="15" t="s">
        <v>1176</v>
      </c>
      <c r="B218" s="16" t="s">
        <v>306</v>
      </c>
      <c r="C218" s="15">
        <v>8402305</v>
      </c>
      <c r="D218" s="16" t="s">
        <v>259</v>
      </c>
      <c r="E218" s="15" t="s">
        <v>1177</v>
      </c>
      <c r="F218" s="21" t="str">
        <f>HYPERLINK("https://psearch.kitsapgov.com/webappa/index.html?parcelID=2337848&amp;Theme=Imagery","2337848")</f>
        <v>2337848</v>
      </c>
      <c r="G218" s="16" t="s">
        <v>1178</v>
      </c>
      <c r="H218" s="17">
        <v>42426</v>
      </c>
      <c r="I218" s="18">
        <v>835000</v>
      </c>
      <c r="J218" s="19">
        <v>0.64</v>
      </c>
      <c r="K218" s="16" t="s">
        <v>302</v>
      </c>
      <c r="L218" s="16" t="s">
        <v>38</v>
      </c>
      <c r="M218" s="16" t="s">
        <v>1179</v>
      </c>
      <c r="N218" s="16" t="s">
        <v>1180</v>
      </c>
    </row>
    <row r="219" spans="1:14" ht="20.100000000000001" customHeight="1" x14ac:dyDescent="0.25">
      <c r="A219" s="15" t="s">
        <v>1181</v>
      </c>
      <c r="B219" s="16" t="s">
        <v>286</v>
      </c>
      <c r="C219" s="15">
        <v>8400206</v>
      </c>
      <c r="D219" s="16" t="s">
        <v>287</v>
      </c>
      <c r="E219" s="15" t="s">
        <v>1182</v>
      </c>
      <c r="F219" s="21" t="str">
        <f>HYPERLINK("https://psearch.kitsapgov.com/webappa/index.html?parcelID=2260834&amp;Theme=Imagery","2260834")</f>
        <v>2260834</v>
      </c>
      <c r="G219" s="16" t="s">
        <v>1183</v>
      </c>
      <c r="H219" s="17">
        <v>42424</v>
      </c>
      <c r="I219" s="18">
        <v>52250</v>
      </c>
      <c r="J219" s="19">
        <v>0</v>
      </c>
      <c r="L219" s="16" t="s">
        <v>38</v>
      </c>
      <c r="M219" s="16" t="s">
        <v>1184</v>
      </c>
      <c r="N219" s="16" t="s">
        <v>1185</v>
      </c>
    </row>
    <row r="220" spans="1:14" ht="20.100000000000001" customHeight="1" x14ac:dyDescent="0.25">
      <c r="A220" s="15" t="s">
        <v>1186</v>
      </c>
      <c r="B220" s="16" t="s">
        <v>96</v>
      </c>
      <c r="C220" s="15">
        <v>8401508</v>
      </c>
      <c r="D220" s="16" t="s">
        <v>90</v>
      </c>
      <c r="E220" s="15" t="s">
        <v>1187</v>
      </c>
      <c r="F220" s="21" t="str">
        <f>HYPERLINK("https://psearch.kitsapgov.com/webappa/index.html?parcelID=2261139&amp;Theme=Imagery","2261139")</f>
        <v>2261139</v>
      </c>
      <c r="G220" s="16" t="s">
        <v>1188</v>
      </c>
      <c r="H220" s="17">
        <v>42431</v>
      </c>
      <c r="I220" s="18">
        <v>919000</v>
      </c>
      <c r="J220" s="19">
        <v>0.88</v>
      </c>
      <c r="K220" s="16" t="s">
        <v>78</v>
      </c>
      <c r="L220" s="16" t="s">
        <v>38</v>
      </c>
      <c r="M220" s="16" t="s">
        <v>738</v>
      </c>
      <c r="N220" s="16" t="s">
        <v>1189</v>
      </c>
    </row>
    <row r="221" spans="1:14" ht="20.100000000000001" customHeight="1" x14ac:dyDescent="0.25">
      <c r="A221" s="15" t="s">
        <v>1190</v>
      </c>
      <c r="B221" s="16" t="s">
        <v>1191</v>
      </c>
      <c r="C221" s="15">
        <v>8303601</v>
      </c>
      <c r="D221" s="16" t="s">
        <v>50</v>
      </c>
      <c r="E221" s="15" t="s">
        <v>1192</v>
      </c>
      <c r="F221" s="21" t="str">
        <f>HYPERLINK("https://psearch.kitsapgov.com/webappa/index.html?parcelID=2385235&amp;Theme=Imagery","2385235")</f>
        <v>2385235</v>
      </c>
      <c r="G221" s="16" t="s">
        <v>1193</v>
      </c>
      <c r="H221" s="17">
        <v>42438</v>
      </c>
      <c r="I221" s="18">
        <v>4566925</v>
      </c>
      <c r="J221" s="19">
        <v>1.75</v>
      </c>
      <c r="K221" s="16" t="s">
        <v>53</v>
      </c>
      <c r="L221" s="16" t="s">
        <v>38</v>
      </c>
      <c r="M221" s="16" t="s">
        <v>1194</v>
      </c>
      <c r="N221" s="16" t="s">
        <v>1195</v>
      </c>
    </row>
    <row r="222" spans="1:14" ht="20.100000000000001" customHeight="1" x14ac:dyDescent="0.25">
      <c r="A222" s="15" t="s">
        <v>1196</v>
      </c>
      <c r="B222" s="16" t="s">
        <v>368</v>
      </c>
      <c r="C222" s="15">
        <v>8400202</v>
      </c>
      <c r="D222" s="16" t="s">
        <v>158</v>
      </c>
      <c r="E222" s="15" t="s">
        <v>1197</v>
      </c>
      <c r="F222" s="21" t="str">
        <f>HYPERLINK("https://psearch.kitsapgov.com/webappa/index.html?parcelID=1916634&amp;Theme=Imagery","1916634")</f>
        <v>1916634</v>
      </c>
      <c r="G222" s="16" t="s">
        <v>1198</v>
      </c>
      <c r="H222" s="17">
        <v>42438</v>
      </c>
      <c r="I222" s="18">
        <v>1231805</v>
      </c>
      <c r="J222" s="19">
        <v>0.51</v>
      </c>
      <c r="K222" s="16" t="s">
        <v>100</v>
      </c>
      <c r="L222" s="16" t="s">
        <v>129</v>
      </c>
      <c r="M222" s="16" t="s">
        <v>1199</v>
      </c>
      <c r="N222" s="16" t="s">
        <v>1200</v>
      </c>
    </row>
    <row r="223" spans="1:14" ht="20.100000000000001" customHeight="1" x14ac:dyDescent="0.25">
      <c r="A223" s="15" t="s">
        <v>1201</v>
      </c>
      <c r="B223" s="16" t="s">
        <v>89</v>
      </c>
      <c r="C223" s="15">
        <v>8400301</v>
      </c>
      <c r="D223" s="16" t="s">
        <v>1139</v>
      </c>
      <c r="E223" s="15" t="s">
        <v>1202</v>
      </c>
      <c r="F223" s="21" t="str">
        <f>HYPERLINK("https://psearch.kitsapgov.com/webappa/index.html?parcelID=1405661&amp;Theme=Imagery","1405661")</f>
        <v>1405661</v>
      </c>
      <c r="G223" s="16" t="s">
        <v>1203</v>
      </c>
      <c r="H223" s="17">
        <v>42438</v>
      </c>
      <c r="I223" s="18">
        <v>425000</v>
      </c>
      <c r="J223" s="19">
        <v>0.99</v>
      </c>
      <c r="K223" s="16" t="s">
        <v>78</v>
      </c>
      <c r="L223" s="16" t="s">
        <v>1204</v>
      </c>
      <c r="M223" s="16" t="s">
        <v>1205</v>
      </c>
      <c r="N223" s="16" t="s">
        <v>1206</v>
      </c>
    </row>
    <row r="224" spans="1:14" ht="20.100000000000001" customHeight="1" x14ac:dyDescent="0.25">
      <c r="A224" s="15" t="s">
        <v>1207</v>
      </c>
      <c r="B224" s="16" t="s">
        <v>49</v>
      </c>
      <c r="C224" s="15">
        <v>9100542</v>
      </c>
      <c r="D224" s="16" t="s">
        <v>454</v>
      </c>
      <c r="E224" s="15" t="s">
        <v>1208</v>
      </c>
      <c r="F224" s="21" t="str">
        <f>HYPERLINK("https://psearch.kitsapgov.com/webappa/index.html?parcelID=1489947&amp;Theme=Imagery","1489947")</f>
        <v>1489947</v>
      </c>
      <c r="G224" s="16" t="s">
        <v>1209</v>
      </c>
      <c r="H224" s="17">
        <v>42437</v>
      </c>
      <c r="I224" s="18">
        <v>199500</v>
      </c>
      <c r="J224" s="19">
        <v>0.34</v>
      </c>
      <c r="K224" s="16" t="s">
        <v>457</v>
      </c>
      <c r="L224" s="16" t="s">
        <v>38</v>
      </c>
      <c r="M224" s="16" t="s">
        <v>1210</v>
      </c>
      <c r="N224" s="16" t="s">
        <v>1211</v>
      </c>
    </row>
    <row r="225" spans="1:14" ht="20.100000000000001" customHeight="1" x14ac:dyDescent="0.25">
      <c r="A225" s="15" t="s">
        <v>1212</v>
      </c>
      <c r="B225" s="16" t="s">
        <v>96</v>
      </c>
      <c r="C225" s="15">
        <v>8303601</v>
      </c>
      <c r="D225" s="16" t="s">
        <v>50</v>
      </c>
      <c r="E225" s="15" t="s">
        <v>1213</v>
      </c>
      <c r="F225" s="21" t="str">
        <f>HYPERLINK("https://psearch.kitsapgov.com/webappa/index.html?parcelID=1922152&amp;Theme=Imagery","1922152")</f>
        <v>1922152</v>
      </c>
      <c r="G225" s="16" t="s">
        <v>1214</v>
      </c>
      <c r="H225" s="17">
        <v>42444</v>
      </c>
      <c r="I225" s="18">
        <v>750000</v>
      </c>
      <c r="J225" s="19">
        <v>0.27</v>
      </c>
      <c r="K225" s="16" t="s">
        <v>326</v>
      </c>
      <c r="L225" s="16" t="s">
        <v>79</v>
      </c>
      <c r="M225" s="16" t="s">
        <v>1215</v>
      </c>
      <c r="N225" s="16" t="s">
        <v>1216</v>
      </c>
    </row>
    <row r="226" spans="1:14" ht="20.100000000000001" customHeight="1" x14ac:dyDescent="0.25">
      <c r="A226" s="15" t="s">
        <v>1217</v>
      </c>
      <c r="B226" s="16" t="s">
        <v>49</v>
      </c>
      <c r="C226" s="15">
        <v>8303601</v>
      </c>
      <c r="D226" s="16" t="s">
        <v>50</v>
      </c>
      <c r="E226" s="15" t="s">
        <v>1218</v>
      </c>
      <c r="F226" s="21" t="str">
        <f>HYPERLINK("https://psearch.kitsapgov.com/webappa/index.html?parcelID=1305135&amp;Theme=Imagery","1305135")</f>
        <v>1305135</v>
      </c>
      <c r="G226" s="16" t="s">
        <v>1219</v>
      </c>
      <c r="H226" s="17">
        <v>42444</v>
      </c>
      <c r="I226" s="18">
        <v>584000</v>
      </c>
      <c r="J226" s="19">
        <v>0.43</v>
      </c>
      <c r="K226" s="16" t="s">
        <v>205</v>
      </c>
      <c r="L226" s="16" t="s">
        <v>38</v>
      </c>
      <c r="M226" s="16" t="s">
        <v>1220</v>
      </c>
      <c r="N226" s="16" t="s">
        <v>1221</v>
      </c>
    </row>
    <row r="227" spans="1:14" ht="20.100000000000001" customHeight="1" x14ac:dyDescent="0.25">
      <c r="A227" s="15" t="s">
        <v>1222</v>
      </c>
      <c r="B227" s="16" t="s">
        <v>239</v>
      </c>
      <c r="C227" s="15">
        <v>8402306</v>
      </c>
      <c r="D227" s="16" t="s">
        <v>34</v>
      </c>
      <c r="E227" s="15" t="s">
        <v>1223</v>
      </c>
      <c r="F227" s="21" t="str">
        <f>HYPERLINK("https://psearch.kitsapgov.com/webappa/index.html?parcelID=1503754&amp;Theme=Imagery","1503754")</f>
        <v>1503754</v>
      </c>
      <c r="G227" s="16" t="s">
        <v>1224</v>
      </c>
      <c r="H227" s="17">
        <v>42423</v>
      </c>
      <c r="I227" s="18">
        <v>165000</v>
      </c>
      <c r="J227" s="19">
        <v>0.23</v>
      </c>
      <c r="K227" s="16" t="s">
        <v>37</v>
      </c>
      <c r="L227" s="16" t="s">
        <v>38</v>
      </c>
      <c r="M227" s="16" t="s">
        <v>1225</v>
      </c>
      <c r="N227" s="16" t="s">
        <v>1226</v>
      </c>
    </row>
    <row r="228" spans="1:14" ht="20.100000000000001" customHeight="1" x14ac:dyDescent="0.25">
      <c r="A228" s="15" t="s">
        <v>1227</v>
      </c>
      <c r="B228" s="16" t="s">
        <v>57</v>
      </c>
      <c r="C228" s="15">
        <v>8400202</v>
      </c>
      <c r="D228" s="16" t="s">
        <v>158</v>
      </c>
      <c r="E228" s="15" t="s">
        <v>1228</v>
      </c>
      <c r="F228" s="21" t="str">
        <f>HYPERLINK("https://psearch.kitsapgov.com/webappa/index.html?parcelID=2260420&amp;Theme=Imagery","2260420")</f>
        <v>2260420</v>
      </c>
      <c r="G228" s="16" t="s">
        <v>1229</v>
      </c>
      <c r="H228" s="17">
        <v>42446</v>
      </c>
      <c r="I228" s="18">
        <v>150000</v>
      </c>
      <c r="J228" s="19">
        <v>2.2400000000000002</v>
      </c>
      <c r="K228" s="16" t="s">
        <v>100</v>
      </c>
      <c r="L228" s="16" t="s">
        <v>20</v>
      </c>
      <c r="M228" s="16" t="s">
        <v>1230</v>
      </c>
      <c r="N228" s="16" t="s">
        <v>1231</v>
      </c>
    </row>
    <row r="229" spans="1:14" ht="20.100000000000001" customHeight="1" x14ac:dyDescent="0.25">
      <c r="A229" s="15" t="s">
        <v>1232</v>
      </c>
      <c r="B229" s="16" t="s">
        <v>286</v>
      </c>
      <c r="C229" s="15">
        <v>8303660</v>
      </c>
      <c r="D229" s="16" t="s">
        <v>313</v>
      </c>
      <c r="E229" s="15" t="s">
        <v>1233</v>
      </c>
      <c r="F229" s="21" t="str">
        <f>HYPERLINK("https://psearch.kitsapgov.com/webappa/index.html?parcelID=1883925&amp;Theme=Imagery","1883925")</f>
        <v>1883925</v>
      </c>
      <c r="G229" s="16" t="s">
        <v>1234</v>
      </c>
      <c r="H229" s="17">
        <v>42447</v>
      </c>
      <c r="I229" s="18">
        <v>43500</v>
      </c>
      <c r="J229" s="19">
        <v>0</v>
      </c>
      <c r="L229" s="16" t="s">
        <v>38</v>
      </c>
      <c r="M229" s="16" t="s">
        <v>1235</v>
      </c>
      <c r="N229" s="16" t="s">
        <v>1236</v>
      </c>
    </row>
    <row r="230" spans="1:14" ht="20.100000000000001" customHeight="1" x14ac:dyDescent="0.25">
      <c r="A230" s="15" t="s">
        <v>1237</v>
      </c>
      <c r="B230" s="16" t="s">
        <v>286</v>
      </c>
      <c r="C230" s="15">
        <v>8303660</v>
      </c>
      <c r="D230" s="16" t="s">
        <v>313</v>
      </c>
      <c r="E230" s="15" t="s">
        <v>1238</v>
      </c>
      <c r="F230" s="21" t="str">
        <f>HYPERLINK("https://psearch.kitsapgov.com/webappa/index.html?parcelID=1883891&amp;Theme=Imagery","1883891")</f>
        <v>1883891</v>
      </c>
      <c r="G230" s="16" t="s">
        <v>1239</v>
      </c>
      <c r="H230" s="17">
        <v>42450</v>
      </c>
      <c r="I230" s="18">
        <v>22500</v>
      </c>
      <c r="J230" s="19">
        <v>0</v>
      </c>
      <c r="L230" s="16" t="s">
        <v>174</v>
      </c>
      <c r="M230" s="16" t="s">
        <v>1240</v>
      </c>
      <c r="N230" s="16" t="s">
        <v>1241</v>
      </c>
    </row>
    <row r="231" spans="1:14" ht="20.100000000000001" customHeight="1" x14ac:dyDescent="0.25">
      <c r="A231" s="15" t="s">
        <v>1242</v>
      </c>
      <c r="B231" s="16" t="s">
        <v>96</v>
      </c>
      <c r="C231" s="15">
        <v>8402307</v>
      </c>
      <c r="D231" s="16" t="s">
        <v>151</v>
      </c>
      <c r="E231" s="15" t="s">
        <v>1243</v>
      </c>
      <c r="F231" s="21" t="str">
        <f>HYPERLINK("https://psearch.kitsapgov.com/webappa/index.html?parcelID=1172238&amp;Theme=Imagery","1172238")</f>
        <v>1172238</v>
      </c>
      <c r="G231" s="16" t="s">
        <v>1244</v>
      </c>
      <c r="H231" s="17">
        <v>42450</v>
      </c>
      <c r="I231" s="18">
        <v>200000</v>
      </c>
      <c r="J231" s="19">
        <v>0.46</v>
      </c>
      <c r="K231" s="16" t="s">
        <v>583</v>
      </c>
      <c r="L231" s="16" t="s">
        <v>79</v>
      </c>
      <c r="M231" s="16" t="s">
        <v>1245</v>
      </c>
      <c r="N231" s="16" t="s">
        <v>1246</v>
      </c>
    </row>
    <row r="232" spans="1:14" ht="20.100000000000001" customHeight="1" x14ac:dyDescent="0.25">
      <c r="A232" s="15" t="s">
        <v>1247</v>
      </c>
      <c r="B232" s="16" t="s">
        <v>1248</v>
      </c>
      <c r="C232" s="15">
        <v>9401120</v>
      </c>
      <c r="D232" s="16" t="s">
        <v>125</v>
      </c>
      <c r="E232" s="15" t="s">
        <v>1249</v>
      </c>
      <c r="F232" s="21" t="str">
        <f>HYPERLINK("https://psearch.kitsapgov.com/webappa/index.html?parcelID=2208437&amp;Theme=Imagery","2208437")</f>
        <v>2208437</v>
      </c>
      <c r="G232" s="16" t="s">
        <v>1250</v>
      </c>
      <c r="H232" s="17">
        <v>42369</v>
      </c>
      <c r="I232" s="18">
        <v>375000</v>
      </c>
      <c r="J232" s="19">
        <v>52.81</v>
      </c>
      <c r="K232" s="16" t="s">
        <v>128</v>
      </c>
      <c r="L232" s="16" t="s">
        <v>542</v>
      </c>
      <c r="M232" s="16" t="s">
        <v>1251</v>
      </c>
      <c r="N232" s="16" t="s">
        <v>1252</v>
      </c>
    </row>
    <row r="233" spans="1:14" ht="20.100000000000001" customHeight="1" x14ac:dyDescent="0.25">
      <c r="A233" s="15" t="s">
        <v>1253</v>
      </c>
      <c r="B233" s="16" t="s">
        <v>96</v>
      </c>
      <c r="C233" s="15">
        <v>8100502</v>
      </c>
      <c r="D233" s="16" t="s">
        <v>67</v>
      </c>
      <c r="E233" s="15" t="s">
        <v>1254</v>
      </c>
      <c r="F233" s="21" t="str">
        <f>HYPERLINK("https://psearch.kitsapgov.com/webappa/index.html?parcelID=1156835&amp;Theme=Imagery","1156835")</f>
        <v>1156835</v>
      </c>
      <c r="G233" s="16" t="s">
        <v>1255</v>
      </c>
      <c r="H233" s="17">
        <v>42454</v>
      </c>
      <c r="I233" s="18">
        <v>1539245</v>
      </c>
      <c r="J233" s="19">
        <v>4.63</v>
      </c>
      <c r="K233" s="16" t="s">
        <v>173</v>
      </c>
      <c r="L233" s="16" t="s">
        <v>174</v>
      </c>
      <c r="M233" s="16" t="s">
        <v>1256</v>
      </c>
      <c r="N233" s="16" t="s">
        <v>1257</v>
      </c>
    </row>
    <row r="234" spans="1:14" ht="20.100000000000001" customHeight="1" x14ac:dyDescent="0.25">
      <c r="A234" s="15" t="s">
        <v>1258</v>
      </c>
      <c r="B234" s="16" t="s">
        <v>33</v>
      </c>
      <c r="C234" s="15">
        <v>9400203</v>
      </c>
      <c r="D234" s="16" t="s">
        <v>42</v>
      </c>
      <c r="E234" s="15" t="s">
        <v>1259</v>
      </c>
      <c r="F234" s="21" t="str">
        <f>HYPERLINK("https://psearch.kitsapgov.com/webappa/index.html?parcelID=2460913&amp;Theme=Imagery","2460913")</f>
        <v>2460913</v>
      </c>
      <c r="G234" s="16" t="s">
        <v>1260</v>
      </c>
      <c r="H234" s="17">
        <v>42458</v>
      </c>
      <c r="I234" s="18">
        <v>374000</v>
      </c>
      <c r="J234" s="19">
        <v>0.04</v>
      </c>
      <c r="K234" s="16" t="s">
        <v>45</v>
      </c>
      <c r="L234" s="16" t="s">
        <v>38</v>
      </c>
      <c r="M234" s="16" t="s">
        <v>1261</v>
      </c>
      <c r="N234" s="16" t="s">
        <v>1262</v>
      </c>
    </row>
    <row r="235" spans="1:14" ht="20.100000000000001" customHeight="1" x14ac:dyDescent="0.25">
      <c r="A235" s="15" t="s">
        <v>1263</v>
      </c>
      <c r="B235" s="16" t="s">
        <v>49</v>
      </c>
      <c r="C235" s="15">
        <v>8400301</v>
      </c>
      <c r="D235" s="16" t="s">
        <v>1139</v>
      </c>
      <c r="E235" s="15" t="s">
        <v>1264</v>
      </c>
      <c r="F235" s="21" t="str">
        <f>HYPERLINK("https://psearch.kitsapgov.com/webappa/index.html?parcelID=1582188&amp;Theme=Imagery","1582188")</f>
        <v>1582188</v>
      </c>
      <c r="G235" s="16" t="s">
        <v>1265</v>
      </c>
      <c r="H235" s="17">
        <v>42438</v>
      </c>
      <c r="I235" s="18">
        <v>446500</v>
      </c>
      <c r="J235" s="19">
        <v>0.34</v>
      </c>
      <c r="K235" s="16" t="s">
        <v>1142</v>
      </c>
      <c r="L235" s="16" t="s">
        <v>20</v>
      </c>
      <c r="M235" s="16" t="s">
        <v>1266</v>
      </c>
      <c r="N235" s="16" t="s">
        <v>1267</v>
      </c>
    </row>
    <row r="236" spans="1:14" ht="20.100000000000001" customHeight="1" x14ac:dyDescent="0.25">
      <c r="A236" s="15" t="s">
        <v>1268</v>
      </c>
      <c r="B236" s="16" t="s">
        <v>628</v>
      </c>
      <c r="C236" s="15">
        <v>9402395</v>
      </c>
      <c r="D236" s="16" t="s">
        <v>580</v>
      </c>
      <c r="E236" s="15" t="s">
        <v>1269</v>
      </c>
      <c r="F236" s="21" t="str">
        <f>HYPERLINK("https://psearch.kitsapgov.com/webappa/index.html?parcelID=1508183&amp;Theme=Imagery","1508183")</f>
        <v>1508183</v>
      </c>
      <c r="G236" s="16" t="s">
        <v>1270</v>
      </c>
      <c r="H236" s="17">
        <v>42452</v>
      </c>
      <c r="I236" s="18">
        <v>153933</v>
      </c>
      <c r="J236" s="19">
        <v>0.12</v>
      </c>
      <c r="K236" s="16" t="s">
        <v>274</v>
      </c>
      <c r="L236" s="16" t="s">
        <v>856</v>
      </c>
      <c r="M236" s="16" t="s">
        <v>1271</v>
      </c>
      <c r="N236" s="16" t="s">
        <v>1272</v>
      </c>
    </row>
    <row r="237" spans="1:14" ht="20.100000000000001" customHeight="1" x14ac:dyDescent="0.25">
      <c r="A237" s="15" t="s">
        <v>1273</v>
      </c>
      <c r="B237" s="16" t="s">
        <v>57</v>
      </c>
      <c r="C237" s="15">
        <v>8400302</v>
      </c>
      <c r="D237" s="16" t="s">
        <v>133</v>
      </c>
      <c r="E237" s="15" t="s">
        <v>1274</v>
      </c>
      <c r="F237" s="21" t="str">
        <f>HYPERLINK("https://psearch.kitsapgov.com/webappa/index.html?parcelID=2559227&amp;Theme=Imagery","2559227")</f>
        <v>2559227</v>
      </c>
      <c r="G237" s="16" t="s">
        <v>1275</v>
      </c>
      <c r="H237" s="17">
        <v>42452</v>
      </c>
      <c r="I237" s="18">
        <v>172000</v>
      </c>
      <c r="J237" s="19">
        <v>1.29</v>
      </c>
      <c r="K237" s="16" t="s">
        <v>136</v>
      </c>
      <c r="L237" s="16" t="s">
        <v>38</v>
      </c>
      <c r="M237" s="16" t="s">
        <v>1276</v>
      </c>
      <c r="N237" s="16" t="s">
        <v>955</v>
      </c>
    </row>
    <row r="238" spans="1:14" ht="20.100000000000001" customHeight="1" x14ac:dyDescent="0.25">
      <c r="A238" s="15" t="s">
        <v>1277</v>
      </c>
      <c r="B238" s="16" t="s">
        <v>318</v>
      </c>
      <c r="C238" s="15">
        <v>8402391</v>
      </c>
      <c r="D238" s="16" t="s">
        <v>227</v>
      </c>
      <c r="E238" s="15" t="s">
        <v>1278</v>
      </c>
      <c r="F238" s="21" t="str">
        <f>HYPERLINK("https://psearch.kitsapgov.com/webappa/index.html?parcelID=2413904&amp;Theme=Imagery","2413904")</f>
        <v>2413904</v>
      </c>
      <c r="G238" s="16" t="s">
        <v>1279</v>
      </c>
      <c r="H238" s="17">
        <v>42461</v>
      </c>
      <c r="I238" s="18">
        <v>35000</v>
      </c>
      <c r="J238" s="19">
        <v>0</v>
      </c>
      <c r="L238" s="16" t="s">
        <v>20</v>
      </c>
      <c r="M238" s="16" t="s">
        <v>1280</v>
      </c>
      <c r="N238" s="16" t="s">
        <v>1281</v>
      </c>
    </row>
    <row r="239" spans="1:14" ht="20.100000000000001" customHeight="1" x14ac:dyDescent="0.25">
      <c r="A239" s="15" t="s">
        <v>1282</v>
      </c>
      <c r="B239" s="16" t="s">
        <v>1283</v>
      </c>
      <c r="C239" s="15">
        <v>9100592</v>
      </c>
      <c r="D239" s="16" t="s">
        <v>105</v>
      </c>
      <c r="E239" s="15" t="s">
        <v>1284</v>
      </c>
      <c r="F239" s="21" t="str">
        <f>HYPERLINK("https://psearch.kitsapgov.com/webappa/index.html?parcelID=2598761&amp;Theme=Imagery","2598761")</f>
        <v>2598761</v>
      </c>
      <c r="G239" s="16" t="s">
        <v>1285</v>
      </c>
      <c r="H239" s="17">
        <v>42458</v>
      </c>
      <c r="I239" s="18">
        <v>426500</v>
      </c>
      <c r="J239" s="19">
        <v>0</v>
      </c>
      <c r="L239" s="16" t="s">
        <v>542</v>
      </c>
      <c r="M239" s="16" t="s">
        <v>1286</v>
      </c>
      <c r="N239" s="16" t="s">
        <v>1287</v>
      </c>
    </row>
    <row r="240" spans="1:14" ht="20.100000000000001" customHeight="1" x14ac:dyDescent="0.25">
      <c r="A240" s="15" t="s">
        <v>1288</v>
      </c>
      <c r="B240" s="16" t="s">
        <v>1283</v>
      </c>
      <c r="C240" s="15">
        <v>9100592</v>
      </c>
      <c r="D240" s="16" t="s">
        <v>105</v>
      </c>
      <c r="E240" s="15" t="s">
        <v>1289</v>
      </c>
      <c r="F240" s="21" t="str">
        <f>HYPERLINK("https://psearch.kitsapgov.com/webappa/index.html?parcelID=2598779&amp;Theme=Imagery","2598779")</f>
        <v>2598779</v>
      </c>
      <c r="G240" s="16" t="s">
        <v>1285</v>
      </c>
      <c r="H240" s="17">
        <v>42458</v>
      </c>
      <c r="I240" s="18">
        <v>268500</v>
      </c>
      <c r="J240" s="19">
        <v>0</v>
      </c>
      <c r="L240" s="16" t="s">
        <v>542</v>
      </c>
      <c r="M240" s="16" t="s">
        <v>1286</v>
      </c>
      <c r="N240" s="16" t="s">
        <v>1287</v>
      </c>
    </row>
    <row r="241" spans="1:14" ht="20.100000000000001" customHeight="1" x14ac:dyDescent="0.25">
      <c r="A241" s="15" t="s">
        <v>1290</v>
      </c>
      <c r="B241" s="16" t="s">
        <v>286</v>
      </c>
      <c r="C241" s="15">
        <v>8303660</v>
      </c>
      <c r="D241" s="16" t="s">
        <v>313</v>
      </c>
      <c r="E241" s="15" t="s">
        <v>1291</v>
      </c>
      <c r="F241" s="21" t="str">
        <f>HYPERLINK("https://psearch.kitsapgov.com/webappa/index.html?parcelID=1883560&amp;Theme=Imagery","1883560")</f>
        <v>1883560</v>
      </c>
      <c r="G241" s="16" t="s">
        <v>1292</v>
      </c>
      <c r="H241" s="17">
        <v>42454</v>
      </c>
      <c r="I241" s="18">
        <v>60000</v>
      </c>
      <c r="J241" s="19">
        <v>0</v>
      </c>
      <c r="L241" s="16" t="s">
        <v>290</v>
      </c>
      <c r="M241" s="16" t="s">
        <v>1293</v>
      </c>
      <c r="N241" s="16" t="s">
        <v>1294</v>
      </c>
    </row>
    <row r="242" spans="1:14" ht="20.100000000000001" customHeight="1" x14ac:dyDescent="0.25">
      <c r="A242" s="15" t="s">
        <v>1295</v>
      </c>
      <c r="B242" s="16" t="s">
        <v>96</v>
      </c>
      <c r="C242" s="15">
        <v>8303601</v>
      </c>
      <c r="D242" s="16" t="s">
        <v>50</v>
      </c>
      <c r="E242" s="15" t="s">
        <v>1296</v>
      </c>
      <c r="F242" s="21" t="str">
        <f>HYPERLINK("https://psearch.kitsapgov.com/webappa/index.html?parcelID=2411759&amp;Theme=Imagery","2411759")</f>
        <v>2411759</v>
      </c>
      <c r="G242" s="16" t="s">
        <v>1297</v>
      </c>
      <c r="H242" s="17">
        <v>42468</v>
      </c>
      <c r="I242" s="18">
        <v>2572500</v>
      </c>
      <c r="J242" s="19">
        <v>0.28999999999999998</v>
      </c>
      <c r="K242" s="16" t="s">
        <v>326</v>
      </c>
      <c r="L242" s="16" t="s">
        <v>129</v>
      </c>
      <c r="M242" s="16" t="s">
        <v>1298</v>
      </c>
      <c r="N242" s="16" t="s">
        <v>1299</v>
      </c>
    </row>
    <row r="243" spans="1:14" ht="20.100000000000001" customHeight="1" x14ac:dyDescent="0.25">
      <c r="A243" s="15" t="s">
        <v>1300</v>
      </c>
      <c r="B243" s="16" t="s">
        <v>89</v>
      </c>
      <c r="C243" s="15">
        <v>8400202</v>
      </c>
      <c r="D243" s="16" t="s">
        <v>158</v>
      </c>
      <c r="E243" s="15" t="s">
        <v>1301</v>
      </c>
      <c r="F243" s="21" t="str">
        <f>HYPERLINK("https://psearch.kitsapgov.com/webappa/index.html?parcelID=1341148&amp;Theme=Imagery","1341148")</f>
        <v>1341148</v>
      </c>
      <c r="G243" s="16" t="s">
        <v>1302</v>
      </c>
      <c r="H243" s="17">
        <v>42467</v>
      </c>
      <c r="I243" s="18">
        <v>200000</v>
      </c>
      <c r="J243" s="19">
        <v>0.08</v>
      </c>
      <c r="K243" s="16" t="s">
        <v>100</v>
      </c>
      <c r="L243" s="16" t="s">
        <v>38</v>
      </c>
      <c r="M243" s="16" t="s">
        <v>1303</v>
      </c>
      <c r="N243" s="16" t="s">
        <v>1304</v>
      </c>
    </row>
    <row r="244" spans="1:14" ht="20.100000000000001" customHeight="1" x14ac:dyDescent="0.25">
      <c r="A244" s="15" t="s">
        <v>1305</v>
      </c>
      <c r="B244" s="16" t="s">
        <v>49</v>
      </c>
      <c r="C244" s="15">
        <v>8401104</v>
      </c>
      <c r="D244" s="16" t="s">
        <v>144</v>
      </c>
      <c r="E244" s="15" t="s">
        <v>1306</v>
      </c>
      <c r="F244" s="21" t="str">
        <f>HYPERLINK("https://psearch.kitsapgov.com/webappa/index.html?parcelID=1240696&amp;Theme=Imagery","1240696")</f>
        <v>1240696</v>
      </c>
      <c r="G244" s="16" t="s">
        <v>1307</v>
      </c>
      <c r="H244" s="17">
        <v>42467</v>
      </c>
      <c r="I244" s="18">
        <v>208000</v>
      </c>
      <c r="J244" s="19">
        <v>1.92</v>
      </c>
      <c r="K244" s="16" t="s">
        <v>78</v>
      </c>
      <c r="L244" s="16" t="s">
        <v>38</v>
      </c>
      <c r="M244" s="16" t="s">
        <v>1308</v>
      </c>
      <c r="N244" s="16" t="s">
        <v>1309</v>
      </c>
    </row>
    <row r="245" spans="1:14" ht="20.100000000000001" customHeight="1" x14ac:dyDescent="0.25">
      <c r="A245" s="15" t="s">
        <v>1310</v>
      </c>
      <c r="B245" s="16" t="s">
        <v>286</v>
      </c>
      <c r="C245" s="15">
        <v>8400206</v>
      </c>
      <c r="D245" s="16" t="s">
        <v>287</v>
      </c>
      <c r="E245" s="15" t="s">
        <v>1311</v>
      </c>
      <c r="F245" s="21" t="str">
        <f>HYPERLINK("https://psearch.kitsapgov.com/webappa/index.html?parcelID=2071470&amp;Theme=Imagery","2071470")</f>
        <v>2071470</v>
      </c>
      <c r="G245" s="16" t="s">
        <v>1312</v>
      </c>
      <c r="H245" s="17">
        <v>42463</v>
      </c>
      <c r="I245" s="18">
        <v>20000</v>
      </c>
      <c r="J245" s="19">
        <v>0</v>
      </c>
      <c r="L245" s="16" t="s">
        <v>290</v>
      </c>
      <c r="M245" s="16" t="s">
        <v>1313</v>
      </c>
      <c r="N245" s="16" t="s">
        <v>1314</v>
      </c>
    </row>
    <row r="246" spans="1:14" ht="20.100000000000001" customHeight="1" x14ac:dyDescent="0.25">
      <c r="A246" s="15" t="s">
        <v>1315</v>
      </c>
      <c r="B246" s="16" t="s">
        <v>24</v>
      </c>
      <c r="C246" s="15">
        <v>9402401</v>
      </c>
      <c r="D246" s="16" t="s">
        <v>629</v>
      </c>
      <c r="E246" s="15" t="s">
        <v>1316</v>
      </c>
      <c r="F246" s="21" t="str">
        <f>HYPERLINK("https://psearch.kitsapgov.com/webappa/index.html?parcelID=1046374&amp;Theme=Imagery","1046374")</f>
        <v>1046374</v>
      </c>
      <c r="G246" s="16" t="s">
        <v>1317</v>
      </c>
      <c r="H246" s="17">
        <v>42417</v>
      </c>
      <c r="I246" s="18">
        <v>1000</v>
      </c>
      <c r="J246" s="19">
        <v>0.5</v>
      </c>
      <c r="K246" s="16" t="s">
        <v>128</v>
      </c>
      <c r="L246" s="16" t="s">
        <v>542</v>
      </c>
      <c r="M246" s="16" t="s">
        <v>1318</v>
      </c>
      <c r="N246" s="16" t="s">
        <v>544</v>
      </c>
    </row>
    <row r="247" spans="1:14" ht="20.100000000000001" customHeight="1" x14ac:dyDescent="0.25">
      <c r="A247" s="15" t="s">
        <v>1319</v>
      </c>
      <c r="B247" s="16" t="s">
        <v>49</v>
      </c>
      <c r="C247" s="15">
        <v>8402307</v>
      </c>
      <c r="D247" s="16" t="s">
        <v>151</v>
      </c>
      <c r="E247" s="15" t="s">
        <v>1320</v>
      </c>
      <c r="F247" s="21" t="str">
        <f>HYPERLINK("https://psearch.kitsapgov.com/webappa/index.html?parcelID=1505122&amp;Theme=Imagery","1505122")</f>
        <v>1505122</v>
      </c>
      <c r="G247" s="16" t="s">
        <v>1321</v>
      </c>
      <c r="H247" s="17">
        <v>42478</v>
      </c>
      <c r="I247" s="18">
        <v>283500</v>
      </c>
      <c r="J247" s="19">
        <v>0.52</v>
      </c>
      <c r="K247" s="16" t="s">
        <v>583</v>
      </c>
      <c r="L247" s="16" t="s">
        <v>38</v>
      </c>
      <c r="M247" s="16" t="s">
        <v>1322</v>
      </c>
      <c r="N247" s="16" t="s">
        <v>1323</v>
      </c>
    </row>
    <row r="248" spans="1:14" ht="20.100000000000001" customHeight="1" x14ac:dyDescent="0.25">
      <c r="A248" s="15" t="s">
        <v>1324</v>
      </c>
      <c r="B248" s="16" t="s">
        <v>442</v>
      </c>
      <c r="C248" s="15">
        <v>8401101</v>
      </c>
      <c r="D248" s="16" t="s">
        <v>185</v>
      </c>
      <c r="E248" s="15" t="s">
        <v>1053</v>
      </c>
      <c r="F248" s="21" t="str">
        <f>HYPERLINK("https://psearch.kitsapgov.com/webappa/index.html?parcelID=1941368&amp;Theme=Imagery","1941368")</f>
        <v>1941368</v>
      </c>
      <c r="G248" s="16" t="s">
        <v>1054</v>
      </c>
      <c r="H248" s="17">
        <v>42480</v>
      </c>
      <c r="I248" s="18">
        <v>2320000</v>
      </c>
      <c r="J248" s="19">
        <v>0.62</v>
      </c>
      <c r="K248" s="16" t="s">
        <v>188</v>
      </c>
      <c r="L248" s="16" t="s">
        <v>38</v>
      </c>
      <c r="M248" s="16" t="s">
        <v>1056</v>
      </c>
      <c r="N248" s="16" t="s">
        <v>1325</v>
      </c>
    </row>
    <row r="249" spans="1:14" ht="20.100000000000001" customHeight="1" x14ac:dyDescent="0.25">
      <c r="A249" s="15" t="s">
        <v>1326</v>
      </c>
      <c r="B249" s="16" t="s">
        <v>66</v>
      </c>
      <c r="C249" s="15">
        <v>8402307</v>
      </c>
      <c r="D249" s="16" t="s">
        <v>151</v>
      </c>
      <c r="E249" s="15" t="s">
        <v>1327</v>
      </c>
      <c r="F249" s="21" t="str">
        <f>HYPERLINK("https://psearch.kitsapgov.com/webappa/index.html?parcelID=1682590&amp;Theme=Imagery","1682590")</f>
        <v>1682590</v>
      </c>
      <c r="G249" s="16" t="s">
        <v>1328</v>
      </c>
      <c r="H249" s="17">
        <v>42473</v>
      </c>
      <c r="I249" s="18">
        <v>980000</v>
      </c>
      <c r="J249" s="19">
        <v>1.3</v>
      </c>
      <c r="K249" s="16" t="s">
        <v>333</v>
      </c>
      <c r="L249" s="16" t="s">
        <v>79</v>
      </c>
      <c r="M249" s="16" t="s">
        <v>1329</v>
      </c>
      <c r="N249" s="16" t="s">
        <v>1330</v>
      </c>
    </row>
    <row r="250" spans="1:14" ht="20.100000000000001" customHeight="1" x14ac:dyDescent="0.25">
      <c r="A250" s="15" t="s">
        <v>1331</v>
      </c>
      <c r="B250" s="16" t="s">
        <v>704</v>
      </c>
      <c r="C250" s="15">
        <v>8303601</v>
      </c>
      <c r="D250" s="16" t="s">
        <v>50</v>
      </c>
      <c r="E250" s="15" t="s">
        <v>1332</v>
      </c>
      <c r="F250" s="21" t="str">
        <f>HYPERLINK("https://psearch.kitsapgov.com/webappa/index.html?parcelID=2434181&amp;Theme=Imagery","2434181")</f>
        <v>2434181</v>
      </c>
      <c r="G250" s="16" t="s">
        <v>1333</v>
      </c>
      <c r="H250" s="17">
        <v>42485</v>
      </c>
      <c r="I250" s="18">
        <v>20000</v>
      </c>
      <c r="J250" s="19">
        <v>4.9800000000000004</v>
      </c>
      <c r="K250" s="16" t="s">
        <v>326</v>
      </c>
      <c r="L250" s="16" t="s">
        <v>246</v>
      </c>
      <c r="M250" s="16" t="s">
        <v>1334</v>
      </c>
      <c r="N250" s="16" t="s">
        <v>1335</v>
      </c>
    </row>
    <row r="251" spans="1:14" ht="20.100000000000001" customHeight="1" x14ac:dyDescent="0.25">
      <c r="A251" s="15" t="s">
        <v>1336</v>
      </c>
      <c r="B251" s="16" t="s">
        <v>66</v>
      </c>
      <c r="C251" s="15">
        <v>8303601</v>
      </c>
      <c r="D251" s="16" t="s">
        <v>50</v>
      </c>
      <c r="E251" s="15" t="s">
        <v>1337</v>
      </c>
      <c r="F251" s="21" t="str">
        <f>HYPERLINK("https://psearch.kitsapgov.com/webappa/index.html?parcelID=1283050&amp;Theme=Imagery","1283050")</f>
        <v>1283050</v>
      </c>
      <c r="G251" s="16" t="s">
        <v>1338</v>
      </c>
      <c r="H251" s="17">
        <v>42467</v>
      </c>
      <c r="I251" s="18">
        <v>4306</v>
      </c>
      <c r="J251" s="19">
        <v>5</v>
      </c>
      <c r="K251" s="16" t="s">
        <v>1339</v>
      </c>
      <c r="L251" s="16" t="s">
        <v>542</v>
      </c>
      <c r="M251" s="16" t="s">
        <v>1340</v>
      </c>
      <c r="N251" s="16" t="s">
        <v>544</v>
      </c>
    </row>
    <row r="252" spans="1:14" ht="20.100000000000001" customHeight="1" x14ac:dyDescent="0.25">
      <c r="A252" s="15" t="s">
        <v>1341</v>
      </c>
      <c r="B252" s="16" t="s">
        <v>57</v>
      </c>
      <c r="C252" s="15">
        <v>8400301</v>
      </c>
      <c r="D252" s="16" t="s">
        <v>1139</v>
      </c>
      <c r="E252" s="15" t="s">
        <v>1342</v>
      </c>
      <c r="F252" s="21" t="str">
        <f>HYPERLINK("https://psearch.kitsapgov.com/webappa/index.html?parcelID=2414399&amp;Theme=Imagery","2414399")</f>
        <v>2414399</v>
      </c>
      <c r="G252" s="16" t="s">
        <v>1343</v>
      </c>
      <c r="H252" s="17">
        <v>42486</v>
      </c>
      <c r="I252" s="18">
        <v>325000</v>
      </c>
      <c r="J252" s="19">
        <v>1.74</v>
      </c>
      <c r="K252" s="16" t="s">
        <v>78</v>
      </c>
      <c r="L252" s="16" t="s">
        <v>1344</v>
      </c>
      <c r="M252" s="16" t="s">
        <v>1345</v>
      </c>
      <c r="N252" s="16" t="s">
        <v>1346</v>
      </c>
    </row>
    <row r="253" spans="1:14" ht="20.100000000000001" customHeight="1" x14ac:dyDescent="0.25">
      <c r="A253" s="15" t="s">
        <v>1347</v>
      </c>
      <c r="B253" s="16" t="s">
        <v>89</v>
      </c>
      <c r="C253" s="15">
        <v>8400302</v>
      </c>
      <c r="D253" s="16" t="s">
        <v>133</v>
      </c>
      <c r="E253" s="15" t="s">
        <v>1348</v>
      </c>
      <c r="F253" s="21" t="str">
        <f>HYPERLINK("https://psearch.kitsapgov.com/webappa/index.html?parcelID=1564962&amp;Theme=Imagery","1564962")</f>
        <v>1564962</v>
      </c>
      <c r="G253" s="16" t="s">
        <v>1349</v>
      </c>
      <c r="H253" s="17">
        <v>42485</v>
      </c>
      <c r="I253" s="18">
        <v>393000</v>
      </c>
      <c r="J253" s="19">
        <v>0.46</v>
      </c>
      <c r="K253" s="16" t="s">
        <v>194</v>
      </c>
      <c r="L253" s="16" t="s">
        <v>79</v>
      </c>
      <c r="M253" s="16" t="s">
        <v>1350</v>
      </c>
      <c r="N253" s="16" t="s">
        <v>1351</v>
      </c>
    </row>
    <row r="254" spans="1:14" ht="20.100000000000001" customHeight="1" x14ac:dyDescent="0.25">
      <c r="A254" s="15" t="s">
        <v>1352</v>
      </c>
      <c r="B254" s="16" t="s">
        <v>1353</v>
      </c>
      <c r="C254" s="15">
        <v>8402405</v>
      </c>
      <c r="D254" s="16" t="s">
        <v>1010</v>
      </c>
      <c r="E254" s="15" t="s">
        <v>1354</v>
      </c>
      <c r="F254" s="21" t="str">
        <f>HYPERLINK("https://psearch.kitsapgov.com/webappa/index.html?parcelID=1801711&amp;Theme=Imagery","1801711")</f>
        <v>1801711</v>
      </c>
      <c r="G254" s="16" t="s">
        <v>1355</v>
      </c>
      <c r="H254" s="17">
        <v>42487</v>
      </c>
      <c r="I254" s="18">
        <v>550000</v>
      </c>
      <c r="J254" s="19">
        <v>0.68</v>
      </c>
      <c r="K254" s="16" t="s">
        <v>194</v>
      </c>
      <c r="L254" s="16" t="s">
        <v>20</v>
      </c>
      <c r="M254" s="16" t="s">
        <v>1356</v>
      </c>
      <c r="N254" s="16" t="s">
        <v>1357</v>
      </c>
    </row>
    <row r="255" spans="1:14" ht="20.100000000000001" customHeight="1" x14ac:dyDescent="0.25">
      <c r="A255" s="15" t="s">
        <v>1358</v>
      </c>
      <c r="B255" s="16" t="s">
        <v>143</v>
      </c>
      <c r="C255" s="15">
        <v>8400302</v>
      </c>
      <c r="D255" s="16" t="s">
        <v>133</v>
      </c>
      <c r="E255" s="15" t="s">
        <v>1359</v>
      </c>
      <c r="F255" s="21" t="str">
        <f>HYPERLINK("https://psearch.kitsapgov.com/webappa/index.html?parcelID=2596526&amp;Theme=Imagery","2596526")</f>
        <v>2596526</v>
      </c>
      <c r="G255" s="16" t="s">
        <v>1360</v>
      </c>
      <c r="H255" s="17">
        <v>42486</v>
      </c>
      <c r="I255" s="18">
        <v>231750</v>
      </c>
      <c r="J255" s="19">
        <v>1.25</v>
      </c>
      <c r="K255" s="16" t="s">
        <v>136</v>
      </c>
      <c r="L255" s="16" t="s">
        <v>38</v>
      </c>
      <c r="M255" s="16" t="s">
        <v>1361</v>
      </c>
      <c r="N255" s="16" t="s">
        <v>1362</v>
      </c>
    </row>
    <row r="256" spans="1:14" ht="20.100000000000001" customHeight="1" x14ac:dyDescent="0.25">
      <c r="A256" s="15" t="s">
        <v>1363</v>
      </c>
      <c r="B256" s="16" t="s">
        <v>96</v>
      </c>
      <c r="C256" s="15">
        <v>8400207</v>
      </c>
      <c r="D256" s="16" t="s">
        <v>998</v>
      </c>
      <c r="E256" s="15" t="s">
        <v>999</v>
      </c>
      <c r="F256" s="21" t="str">
        <f>HYPERLINK("https://psearch.kitsapgov.com/webappa/index.html?parcelID=2200780&amp;Theme=Imagery","2200780")</f>
        <v>2200780</v>
      </c>
      <c r="G256" s="16" t="s">
        <v>1000</v>
      </c>
      <c r="H256" s="17">
        <v>42494</v>
      </c>
      <c r="I256" s="18">
        <v>325000</v>
      </c>
      <c r="J256" s="19">
        <v>1.43</v>
      </c>
      <c r="K256" s="16" t="s">
        <v>1001</v>
      </c>
      <c r="L256" s="16" t="s">
        <v>20</v>
      </c>
      <c r="M256" s="16" t="s">
        <v>1003</v>
      </c>
      <c r="N256" s="16" t="s">
        <v>1364</v>
      </c>
    </row>
    <row r="257" spans="1:14" ht="20.100000000000001" customHeight="1" x14ac:dyDescent="0.25">
      <c r="A257" s="15" t="s">
        <v>1365</v>
      </c>
      <c r="B257" s="16" t="s">
        <v>407</v>
      </c>
      <c r="C257" s="15">
        <v>8303601</v>
      </c>
      <c r="D257" s="16" t="s">
        <v>50</v>
      </c>
      <c r="E257" s="15" t="s">
        <v>1366</v>
      </c>
      <c r="F257" s="21" t="str">
        <f>HYPERLINK("https://psearch.kitsapgov.com/webappa/index.html?parcelID=2328359&amp;Theme=Imagery","2328359")</f>
        <v>2328359</v>
      </c>
      <c r="G257" s="16" t="s">
        <v>1367</v>
      </c>
      <c r="H257" s="17">
        <v>42492</v>
      </c>
      <c r="I257" s="18">
        <v>146000</v>
      </c>
      <c r="J257" s="19">
        <v>0</v>
      </c>
      <c r="L257" s="16" t="s">
        <v>20</v>
      </c>
      <c r="M257" s="16" t="s">
        <v>1368</v>
      </c>
      <c r="N257" s="16" t="s">
        <v>1369</v>
      </c>
    </row>
    <row r="258" spans="1:14" ht="20.100000000000001" customHeight="1" x14ac:dyDescent="0.25">
      <c r="A258" s="15" t="s">
        <v>1370</v>
      </c>
      <c r="B258" s="16" t="s">
        <v>526</v>
      </c>
      <c r="C258" s="15">
        <v>9402390</v>
      </c>
      <c r="D258" s="16" t="s">
        <v>271</v>
      </c>
      <c r="E258" s="15" t="s">
        <v>1371</v>
      </c>
      <c r="F258" s="21" t="str">
        <f>HYPERLINK("https://psearch.kitsapgov.com/webappa/index.html?parcelID=1172998&amp;Theme=Imagery","1172998")</f>
        <v>1172998</v>
      </c>
      <c r="G258" s="16" t="s">
        <v>1372</v>
      </c>
      <c r="H258" s="17">
        <v>42499</v>
      </c>
      <c r="I258" s="18">
        <v>5000</v>
      </c>
      <c r="J258" s="19">
        <v>7.0000000000000007E-2</v>
      </c>
      <c r="K258" s="16" t="s">
        <v>1373</v>
      </c>
      <c r="L258" s="16" t="s">
        <v>246</v>
      </c>
      <c r="M258" s="16" t="s">
        <v>1374</v>
      </c>
      <c r="N258" s="16" t="s">
        <v>1375</v>
      </c>
    </row>
    <row r="259" spans="1:14" ht="20.100000000000001" customHeight="1" x14ac:dyDescent="0.25">
      <c r="A259" s="15" t="s">
        <v>1376</v>
      </c>
      <c r="B259" s="16" t="s">
        <v>318</v>
      </c>
      <c r="C259" s="15">
        <v>8402391</v>
      </c>
      <c r="D259" s="16" t="s">
        <v>227</v>
      </c>
      <c r="E259" s="15" t="s">
        <v>1377</v>
      </c>
      <c r="F259" s="21" t="str">
        <f>HYPERLINK("https://psearch.kitsapgov.com/webappa/index.html?parcelID=2464568&amp;Theme=Imagery","2464568")</f>
        <v>2464568</v>
      </c>
      <c r="G259" s="16" t="s">
        <v>1378</v>
      </c>
      <c r="H259" s="17">
        <v>42499</v>
      </c>
      <c r="I259" s="18">
        <v>78000</v>
      </c>
      <c r="J259" s="19">
        <v>0</v>
      </c>
      <c r="L259" s="16" t="s">
        <v>290</v>
      </c>
      <c r="M259" s="16" t="s">
        <v>1379</v>
      </c>
      <c r="N259" s="16" t="s">
        <v>1380</v>
      </c>
    </row>
    <row r="260" spans="1:14" ht="20.100000000000001" customHeight="1" x14ac:dyDescent="0.25">
      <c r="A260" s="15" t="s">
        <v>1381</v>
      </c>
      <c r="B260" s="16" t="s">
        <v>49</v>
      </c>
      <c r="C260" s="15">
        <v>9402402</v>
      </c>
      <c r="D260" s="16" t="s">
        <v>1382</v>
      </c>
      <c r="E260" s="15" t="s">
        <v>1383</v>
      </c>
      <c r="F260" s="21" t="str">
        <f>HYPERLINK("https://psearch.kitsapgov.com/webappa/index.html?parcelID=1052414&amp;Theme=Imagery","1052414")</f>
        <v>1052414</v>
      </c>
      <c r="G260" s="16" t="s">
        <v>1384</v>
      </c>
      <c r="H260" s="17">
        <v>42496</v>
      </c>
      <c r="I260" s="18">
        <v>31883</v>
      </c>
      <c r="J260" s="19">
        <v>0.94</v>
      </c>
      <c r="K260" s="16" t="s">
        <v>61</v>
      </c>
      <c r="L260" s="16" t="s">
        <v>246</v>
      </c>
      <c r="M260" s="16" t="s">
        <v>1385</v>
      </c>
      <c r="N260" s="16" t="s">
        <v>1386</v>
      </c>
    </row>
    <row r="261" spans="1:14" ht="20.100000000000001" customHeight="1" x14ac:dyDescent="0.25">
      <c r="A261" s="15" t="s">
        <v>1387</v>
      </c>
      <c r="B261" s="16" t="s">
        <v>96</v>
      </c>
      <c r="C261" s="15">
        <v>8401101</v>
      </c>
      <c r="D261" s="16" t="s">
        <v>185</v>
      </c>
      <c r="E261" s="15" t="s">
        <v>1388</v>
      </c>
      <c r="F261" s="21" t="str">
        <f>HYPERLINK("https://psearch.kitsapgov.com/webappa/index.html?parcelID=2589224&amp;Theme=Imagery","2589224")</f>
        <v>2589224</v>
      </c>
      <c r="G261" s="16" t="s">
        <v>1389</v>
      </c>
      <c r="H261" s="17">
        <v>42496</v>
      </c>
      <c r="I261" s="18">
        <v>862500</v>
      </c>
      <c r="J261" s="19">
        <v>0.7</v>
      </c>
      <c r="K261" s="16" t="s">
        <v>188</v>
      </c>
      <c r="L261" s="16" t="s">
        <v>246</v>
      </c>
      <c r="M261" s="16" t="s">
        <v>1390</v>
      </c>
      <c r="N261" s="16" t="s">
        <v>1391</v>
      </c>
    </row>
    <row r="262" spans="1:14" ht="20.100000000000001" customHeight="1" x14ac:dyDescent="0.25">
      <c r="A262" s="15" t="s">
        <v>1392</v>
      </c>
      <c r="B262" s="16" t="s">
        <v>214</v>
      </c>
      <c r="C262" s="15">
        <v>9100521</v>
      </c>
      <c r="D262" s="16" t="s">
        <v>1393</v>
      </c>
      <c r="E262" s="15" t="s">
        <v>1394</v>
      </c>
      <c r="F262" s="21" t="str">
        <f>HYPERLINK("https://psearch.kitsapgov.com/webappa/index.html?parcelID=2531556&amp;Theme=Imagery","2531556")</f>
        <v>2531556</v>
      </c>
      <c r="G262" s="16" t="s">
        <v>1395</v>
      </c>
      <c r="H262" s="17">
        <v>42501</v>
      </c>
      <c r="I262" s="18">
        <v>390000</v>
      </c>
      <c r="J262" s="19">
        <v>0.43</v>
      </c>
      <c r="K262" s="16" t="s">
        <v>235</v>
      </c>
      <c r="L262" s="16" t="s">
        <v>38</v>
      </c>
      <c r="M262" s="16" t="s">
        <v>1396</v>
      </c>
      <c r="N262" s="16" t="s">
        <v>1397</v>
      </c>
    </row>
    <row r="263" spans="1:14" ht="20.100000000000001" customHeight="1" x14ac:dyDescent="0.25">
      <c r="A263" s="15" t="s">
        <v>1398</v>
      </c>
      <c r="B263" s="16" t="s">
        <v>239</v>
      </c>
      <c r="C263" s="15">
        <v>8100506</v>
      </c>
      <c r="D263" s="16" t="s">
        <v>25</v>
      </c>
      <c r="E263" s="15" t="s">
        <v>1399</v>
      </c>
      <c r="F263" s="21" t="str">
        <f>HYPERLINK("https://psearch.kitsapgov.com/webappa/index.html?parcelID=1473883&amp;Theme=Imagery","1473883")</f>
        <v>1473883</v>
      </c>
      <c r="G263" s="16" t="s">
        <v>1400</v>
      </c>
      <c r="H263" s="17">
        <v>42507</v>
      </c>
      <c r="I263" s="18">
        <v>299000</v>
      </c>
      <c r="J263" s="19">
        <v>0.11</v>
      </c>
      <c r="K263" s="16" t="s">
        <v>839</v>
      </c>
      <c r="L263" s="16" t="s">
        <v>38</v>
      </c>
      <c r="M263" s="16" t="s">
        <v>1401</v>
      </c>
      <c r="N263" s="16" t="s">
        <v>1402</v>
      </c>
    </row>
    <row r="264" spans="1:14" ht="20.100000000000001" customHeight="1" x14ac:dyDescent="0.25">
      <c r="A264" s="15" t="s">
        <v>1403</v>
      </c>
      <c r="B264" s="16" t="s">
        <v>407</v>
      </c>
      <c r="C264" s="15">
        <v>8303601</v>
      </c>
      <c r="D264" s="16" t="s">
        <v>50</v>
      </c>
      <c r="E264" s="15" t="s">
        <v>1404</v>
      </c>
      <c r="F264" s="21" t="str">
        <f>HYPERLINK("https://psearch.kitsapgov.com/webappa/index.html?parcelID=2380509&amp;Theme=Imagery","2380509")</f>
        <v>2380509</v>
      </c>
      <c r="G264" s="16" t="s">
        <v>1405</v>
      </c>
      <c r="H264" s="17">
        <v>42513</v>
      </c>
      <c r="I264" s="18">
        <v>3332000</v>
      </c>
      <c r="J264" s="19">
        <v>0</v>
      </c>
      <c r="L264" s="16" t="s">
        <v>38</v>
      </c>
      <c r="M264" s="16" t="s">
        <v>1406</v>
      </c>
      <c r="N264" s="16" t="s">
        <v>1407</v>
      </c>
    </row>
    <row r="265" spans="1:14" ht="20.100000000000001" customHeight="1" x14ac:dyDescent="0.25">
      <c r="A265" s="15" t="s">
        <v>1408</v>
      </c>
      <c r="B265" s="16" t="s">
        <v>286</v>
      </c>
      <c r="C265" s="15">
        <v>8400206</v>
      </c>
      <c r="D265" s="16" t="s">
        <v>287</v>
      </c>
      <c r="E265" s="15" t="s">
        <v>1409</v>
      </c>
      <c r="F265" s="21" t="str">
        <f>HYPERLINK("https://psearch.kitsapgov.com/webappa/index.html?parcelID=2071009&amp;Theme=Imagery","2071009")</f>
        <v>2071009</v>
      </c>
      <c r="G265" s="16" t="s">
        <v>1410</v>
      </c>
      <c r="H265" s="17">
        <v>42509</v>
      </c>
      <c r="I265" s="18">
        <v>40000</v>
      </c>
      <c r="J265" s="19">
        <v>0</v>
      </c>
      <c r="L265" s="16" t="s">
        <v>38</v>
      </c>
      <c r="M265" s="16" t="s">
        <v>1411</v>
      </c>
      <c r="N265" s="16" t="s">
        <v>1412</v>
      </c>
    </row>
    <row r="266" spans="1:14" ht="20.100000000000001" customHeight="1" x14ac:dyDescent="0.25">
      <c r="A266" s="15" t="s">
        <v>1413</v>
      </c>
      <c r="B266" s="16" t="s">
        <v>318</v>
      </c>
      <c r="C266" s="15">
        <v>8402391</v>
      </c>
      <c r="D266" s="16" t="s">
        <v>227</v>
      </c>
      <c r="E266" s="15" t="s">
        <v>1414</v>
      </c>
      <c r="F266" s="21" t="str">
        <f>HYPERLINK("https://psearch.kitsapgov.com/webappa/index.html?parcelID=2455947&amp;Theme=Imagery","2455947")</f>
        <v>2455947</v>
      </c>
      <c r="G266" s="16" t="s">
        <v>1415</v>
      </c>
      <c r="H266" s="17">
        <v>42489</v>
      </c>
      <c r="I266" s="18">
        <v>47500</v>
      </c>
      <c r="J266" s="19">
        <v>0</v>
      </c>
      <c r="L266" s="16" t="s">
        <v>246</v>
      </c>
      <c r="M266" s="16" t="s">
        <v>1416</v>
      </c>
      <c r="N266" s="16" t="s">
        <v>322</v>
      </c>
    </row>
    <row r="267" spans="1:14" ht="20.100000000000001" customHeight="1" x14ac:dyDescent="0.25">
      <c r="A267" s="15" t="s">
        <v>1417</v>
      </c>
      <c r="B267" s="16" t="s">
        <v>393</v>
      </c>
      <c r="C267" s="15">
        <v>8401103</v>
      </c>
      <c r="D267" s="16" t="s">
        <v>826</v>
      </c>
      <c r="E267" s="15" t="s">
        <v>1418</v>
      </c>
      <c r="F267" s="21" t="str">
        <f>HYPERLINK("https://psearch.kitsapgov.com/webappa/index.html?parcelID=2240505&amp;Theme=Imagery","2240505")</f>
        <v>2240505</v>
      </c>
      <c r="G267" s="16" t="s">
        <v>1419</v>
      </c>
      <c r="H267" s="17">
        <v>42516</v>
      </c>
      <c r="I267" s="18">
        <v>20050000</v>
      </c>
      <c r="J267" s="19">
        <v>5.12</v>
      </c>
      <c r="K267" s="16" t="s">
        <v>708</v>
      </c>
      <c r="L267" s="16" t="s">
        <v>38</v>
      </c>
      <c r="M267" s="16" t="s">
        <v>1420</v>
      </c>
      <c r="N267" s="16" t="s">
        <v>1421</v>
      </c>
    </row>
    <row r="268" spans="1:14" ht="20.100000000000001" customHeight="1" x14ac:dyDescent="0.25">
      <c r="A268" s="15" t="s">
        <v>1422</v>
      </c>
      <c r="B268" s="16" t="s">
        <v>164</v>
      </c>
      <c r="C268" s="15">
        <v>8303601</v>
      </c>
      <c r="D268" s="16" t="s">
        <v>50</v>
      </c>
      <c r="E268" s="15" t="s">
        <v>1423</v>
      </c>
      <c r="F268" s="21" t="str">
        <f>HYPERLINK("https://psearch.kitsapgov.com/webappa/index.html?parcelID=2433605&amp;Theme=Imagery","2433605")</f>
        <v>2433605</v>
      </c>
      <c r="G268" s="16" t="s">
        <v>1424</v>
      </c>
      <c r="H268" s="17">
        <v>42510</v>
      </c>
      <c r="I268" s="18">
        <v>180000</v>
      </c>
      <c r="J268" s="19">
        <v>0</v>
      </c>
      <c r="L268" s="16" t="s">
        <v>38</v>
      </c>
      <c r="M268" s="16" t="s">
        <v>1425</v>
      </c>
      <c r="N268" s="16" t="s">
        <v>1426</v>
      </c>
    </row>
    <row r="269" spans="1:14" ht="20.100000000000001" customHeight="1" x14ac:dyDescent="0.25">
      <c r="A269" s="15" t="s">
        <v>1427</v>
      </c>
      <c r="B269" s="16" t="s">
        <v>66</v>
      </c>
      <c r="C269" s="15">
        <v>8400302</v>
      </c>
      <c r="D269" s="16" t="s">
        <v>133</v>
      </c>
      <c r="E269" s="15" t="s">
        <v>1428</v>
      </c>
      <c r="F269" s="21" t="str">
        <f>HYPERLINK("https://psearch.kitsapgov.com/webappa/index.html?parcelID=2596534&amp;Theme=Imagery","2596534")</f>
        <v>2596534</v>
      </c>
      <c r="G269" s="16" t="s">
        <v>1429</v>
      </c>
      <c r="H269" s="17">
        <v>42515</v>
      </c>
      <c r="I269" s="18">
        <v>245000</v>
      </c>
      <c r="J269" s="19">
        <v>1.25</v>
      </c>
      <c r="K269" s="16" t="s">
        <v>136</v>
      </c>
      <c r="L269" s="16" t="s">
        <v>38</v>
      </c>
      <c r="M269" s="16" t="s">
        <v>1361</v>
      </c>
      <c r="N269" s="16" t="s">
        <v>1430</v>
      </c>
    </row>
    <row r="270" spans="1:14" ht="20.100000000000001" customHeight="1" x14ac:dyDescent="0.25">
      <c r="A270" s="15" t="s">
        <v>1431</v>
      </c>
      <c r="B270" s="16" t="s">
        <v>407</v>
      </c>
      <c r="C270" s="15">
        <v>8100505</v>
      </c>
      <c r="D270" s="16" t="s">
        <v>17</v>
      </c>
      <c r="E270" s="15" t="s">
        <v>1432</v>
      </c>
      <c r="F270" s="21" t="str">
        <f>HYPERLINK("https://psearch.kitsapgov.com/webappa/index.html?parcelID=2093870&amp;Theme=Imagery","2093870")</f>
        <v>2093870</v>
      </c>
      <c r="G270" s="16" t="s">
        <v>1433</v>
      </c>
      <c r="H270" s="17">
        <v>42517</v>
      </c>
      <c r="I270" s="18">
        <v>175000</v>
      </c>
      <c r="J270" s="19">
        <v>0</v>
      </c>
      <c r="L270" s="16" t="s">
        <v>38</v>
      </c>
      <c r="M270" s="16" t="s">
        <v>1434</v>
      </c>
      <c r="N270" s="16" t="s">
        <v>22</v>
      </c>
    </row>
    <row r="271" spans="1:14" ht="20.100000000000001" customHeight="1" x14ac:dyDescent="0.25">
      <c r="A271" s="15" t="s">
        <v>1435</v>
      </c>
      <c r="B271" s="16" t="s">
        <v>96</v>
      </c>
      <c r="C271" s="15">
        <v>8402307</v>
      </c>
      <c r="D271" s="16" t="s">
        <v>151</v>
      </c>
      <c r="E271" s="15" t="s">
        <v>1436</v>
      </c>
      <c r="F271" s="21" t="str">
        <f>HYPERLINK("https://psearch.kitsapgov.com/webappa/index.html?parcelID=1745033&amp;Theme=Imagery","1745033")</f>
        <v>1745033</v>
      </c>
      <c r="G271" s="16" t="s">
        <v>1437</v>
      </c>
      <c r="H271" s="17">
        <v>42521</v>
      </c>
      <c r="I271" s="18">
        <v>400000</v>
      </c>
      <c r="J271" s="19">
        <v>0.45</v>
      </c>
      <c r="K271" s="16" t="s">
        <v>78</v>
      </c>
      <c r="L271" s="16" t="s">
        <v>79</v>
      </c>
      <c r="M271" s="16" t="s">
        <v>1438</v>
      </c>
      <c r="N271" s="16" t="s">
        <v>1439</v>
      </c>
    </row>
    <row r="272" spans="1:14" ht="20.100000000000001" customHeight="1" x14ac:dyDescent="0.25">
      <c r="A272" s="15" t="s">
        <v>1440</v>
      </c>
      <c r="B272" s="16" t="s">
        <v>381</v>
      </c>
      <c r="C272" s="15">
        <v>9100541</v>
      </c>
      <c r="D272" s="16" t="s">
        <v>215</v>
      </c>
      <c r="E272" s="15" t="s">
        <v>1441</v>
      </c>
      <c r="F272" s="21" t="str">
        <f>HYPERLINK("https://psearch.kitsapgov.com/webappa/index.html?parcelID=1142561&amp;Theme=Imagery","1142561")</f>
        <v>1142561</v>
      </c>
      <c r="G272" s="16" t="s">
        <v>1442</v>
      </c>
      <c r="H272" s="17">
        <v>42516</v>
      </c>
      <c r="I272" s="18">
        <v>439000</v>
      </c>
      <c r="J272" s="19">
        <v>0.62</v>
      </c>
      <c r="K272" s="16" t="s">
        <v>235</v>
      </c>
      <c r="L272" s="16" t="s">
        <v>79</v>
      </c>
      <c r="M272" s="16" t="s">
        <v>1443</v>
      </c>
      <c r="N272" s="16" t="s">
        <v>1444</v>
      </c>
    </row>
    <row r="273" spans="1:14" ht="20.100000000000001" customHeight="1" x14ac:dyDescent="0.25">
      <c r="A273" s="15" t="s">
        <v>1445</v>
      </c>
      <c r="B273" s="16" t="s">
        <v>265</v>
      </c>
      <c r="C273" s="15">
        <v>8401101</v>
      </c>
      <c r="D273" s="16" t="s">
        <v>185</v>
      </c>
      <c r="E273" s="15" t="s">
        <v>1446</v>
      </c>
      <c r="F273" s="21" t="str">
        <f>HYPERLINK("https://psearch.kitsapgov.com/webappa/index.html?parcelID=1931278&amp;Theme=Imagery","1931278")</f>
        <v>1931278</v>
      </c>
      <c r="G273" s="16" t="s">
        <v>1447</v>
      </c>
      <c r="H273" s="17">
        <v>42486</v>
      </c>
      <c r="I273" s="18">
        <v>4100</v>
      </c>
      <c r="J273" s="19">
        <v>0.74</v>
      </c>
      <c r="K273" s="16" t="s">
        <v>188</v>
      </c>
      <c r="L273" s="16" t="s">
        <v>1169</v>
      </c>
      <c r="M273" s="16" t="s">
        <v>1448</v>
      </c>
      <c r="N273" s="16" t="s">
        <v>1449</v>
      </c>
    </row>
    <row r="274" spans="1:14" ht="20.100000000000001" customHeight="1" x14ac:dyDescent="0.25">
      <c r="A274" s="15" t="s">
        <v>1450</v>
      </c>
      <c r="B274" s="16" t="s">
        <v>286</v>
      </c>
      <c r="C274" s="15">
        <v>8400206</v>
      </c>
      <c r="D274" s="16" t="s">
        <v>287</v>
      </c>
      <c r="E274" s="15" t="s">
        <v>1451</v>
      </c>
      <c r="F274" s="21" t="str">
        <f>HYPERLINK("https://psearch.kitsapgov.com/webappa/index.html?parcelID=2260974&amp;Theme=Imagery","2260974")</f>
        <v>2260974</v>
      </c>
      <c r="G274" s="16" t="s">
        <v>1452</v>
      </c>
      <c r="H274" s="17">
        <v>42529</v>
      </c>
      <c r="I274" s="18">
        <v>75000</v>
      </c>
      <c r="J274" s="19">
        <v>0</v>
      </c>
      <c r="L274" s="16" t="s">
        <v>38</v>
      </c>
      <c r="M274" s="16" t="s">
        <v>1453</v>
      </c>
      <c r="N274" s="16" t="s">
        <v>1454</v>
      </c>
    </row>
    <row r="275" spans="1:14" ht="20.100000000000001" customHeight="1" x14ac:dyDescent="0.25">
      <c r="A275" s="15" t="s">
        <v>1455</v>
      </c>
      <c r="B275" s="16" t="s">
        <v>286</v>
      </c>
      <c r="C275" s="15">
        <v>8303660</v>
      </c>
      <c r="D275" s="16" t="s">
        <v>313</v>
      </c>
      <c r="E275" s="15" t="s">
        <v>1456</v>
      </c>
      <c r="F275" s="21" t="str">
        <f>HYPERLINK("https://psearch.kitsapgov.com/webappa/index.html?parcelID=1881044&amp;Theme=Imagery","1881044")</f>
        <v>1881044</v>
      </c>
      <c r="G275" s="16" t="s">
        <v>1457</v>
      </c>
      <c r="H275" s="17">
        <v>42522</v>
      </c>
      <c r="I275" s="18">
        <v>26500</v>
      </c>
      <c r="J275" s="19">
        <v>0</v>
      </c>
      <c r="L275" s="16" t="s">
        <v>29</v>
      </c>
      <c r="M275" s="16" t="s">
        <v>1458</v>
      </c>
      <c r="N275" s="16" t="s">
        <v>1459</v>
      </c>
    </row>
    <row r="276" spans="1:14" ht="20.100000000000001" customHeight="1" x14ac:dyDescent="0.25">
      <c r="A276" s="15" t="s">
        <v>1460</v>
      </c>
      <c r="B276" s="16" t="s">
        <v>368</v>
      </c>
      <c r="C276" s="15">
        <v>9303604</v>
      </c>
      <c r="D276" s="16" t="s">
        <v>967</v>
      </c>
      <c r="E276" s="15" t="s">
        <v>1461</v>
      </c>
      <c r="F276" s="21" t="str">
        <f>HYPERLINK("https://psearch.kitsapgov.com/webappa/index.html?parcelID=1307776&amp;Theme=Imagery","1307776")</f>
        <v>1307776</v>
      </c>
      <c r="G276" s="16" t="s">
        <v>1462</v>
      </c>
      <c r="H276" s="17">
        <v>42522</v>
      </c>
      <c r="I276" s="18">
        <v>635000</v>
      </c>
      <c r="J276" s="19">
        <v>0.46</v>
      </c>
      <c r="K276" s="16" t="s">
        <v>1463</v>
      </c>
      <c r="L276" s="16" t="s">
        <v>20</v>
      </c>
      <c r="M276" s="16" t="s">
        <v>1464</v>
      </c>
      <c r="N276" s="16" t="s">
        <v>1465</v>
      </c>
    </row>
    <row r="277" spans="1:14" ht="20.100000000000001" customHeight="1" x14ac:dyDescent="0.25">
      <c r="A277" s="15" t="s">
        <v>1466</v>
      </c>
      <c r="B277" s="16" t="s">
        <v>66</v>
      </c>
      <c r="C277" s="15">
        <v>8401104</v>
      </c>
      <c r="D277" s="16" t="s">
        <v>144</v>
      </c>
      <c r="E277" s="15" t="s">
        <v>1467</v>
      </c>
      <c r="F277" s="21" t="str">
        <f>HYPERLINK("https://psearch.kitsapgov.com/webappa/index.html?parcelID=1243245&amp;Theme=Imagery","1243245")</f>
        <v>1243245</v>
      </c>
      <c r="G277" s="16" t="s">
        <v>1468</v>
      </c>
      <c r="H277" s="17">
        <v>42534</v>
      </c>
      <c r="I277" s="18">
        <v>525000</v>
      </c>
      <c r="J277" s="19">
        <v>39.979999999999997</v>
      </c>
      <c r="K277" s="16" t="s">
        <v>61</v>
      </c>
      <c r="L277" s="16" t="s">
        <v>246</v>
      </c>
      <c r="M277" s="16" t="s">
        <v>964</v>
      </c>
      <c r="N277" s="16" t="s">
        <v>1469</v>
      </c>
    </row>
    <row r="278" spans="1:14" ht="20.100000000000001" customHeight="1" x14ac:dyDescent="0.25">
      <c r="A278" s="15" t="s">
        <v>1470</v>
      </c>
      <c r="B278" s="16" t="s">
        <v>239</v>
      </c>
      <c r="C278" s="15">
        <v>8100501</v>
      </c>
      <c r="D278" s="16" t="s">
        <v>117</v>
      </c>
      <c r="E278" s="15" t="s">
        <v>1471</v>
      </c>
      <c r="F278" s="21" t="str">
        <f>HYPERLINK("https://psearch.kitsapgov.com/webappa/index.html?parcelID=1427004&amp;Theme=Imagery","1427004")</f>
        <v>1427004</v>
      </c>
      <c r="G278" s="16" t="s">
        <v>1472</v>
      </c>
      <c r="H278" s="17">
        <v>42506</v>
      </c>
      <c r="I278" s="18">
        <v>160000</v>
      </c>
      <c r="J278" s="19">
        <v>7.0000000000000007E-2</v>
      </c>
      <c r="K278" s="16" t="s">
        <v>120</v>
      </c>
      <c r="L278" s="16" t="s">
        <v>38</v>
      </c>
      <c r="M278" s="16" t="s">
        <v>1473</v>
      </c>
      <c r="N278" s="16" t="s">
        <v>1474</v>
      </c>
    </row>
    <row r="279" spans="1:14" ht="20.100000000000001" customHeight="1" x14ac:dyDescent="0.25">
      <c r="A279" s="15" t="s">
        <v>1475</v>
      </c>
      <c r="B279" s="16" t="s">
        <v>66</v>
      </c>
      <c r="C279" s="15">
        <v>8303601</v>
      </c>
      <c r="D279" s="16" t="s">
        <v>50</v>
      </c>
      <c r="E279" s="15" t="s">
        <v>1476</v>
      </c>
      <c r="F279" s="21" t="str">
        <f>HYPERLINK("https://psearch.kitsapgov.com/webappa/index.html?parcelID=1966043&amp;Theme=Imagery","1966043")</f>
        <v>1966043</v>
      </c>
      <c r="G279" s="16" t="s">
        <v>1477</v>
      </c>
      <c r="H279" s="17">
        <v>42522</v>
      </c>
      <c r="I279" s="18">
        <v>7841</v>
      </c>
      <c r="J279" s="19">
        <v>2.5299999999999998</v>
      </c>
      <c r="K279" s="16" t="s">
        <v>1339</v>
      </c>
      <c r="L279" s="16" t="s">
        <v>542</v>
      </c>
      <c r="M279" s="16" t="s">
        <v>1478</v>
      </c>
      <c r="N279" s="16" t="s">
        <v>544</v>
      </c>
    </row>
    <row r="280" spans="1:14" ht="20.100000000000001" customHeight="1" x14ac:dyDescent="0.25">
      <c r="A280" s="15" t="s">
        <v>1479</v>
      </c>
      <c r="B280" s="16" t="s">
        <v>66</v>
      </c>
      <c r="C280" s="15">
        <v>8100504</v>
      </c>
      <c r="D280" s="16" t="s">
        <v>58</v>
      </c>
      <c r="E280" s="15" t="s">
        <v>1480</v>
      </c>
      <c r="F280" s="21" t="str">
        <f>HYPERLINK("https://psearch.kitsapgov.com/webappa/index.html?parcelID=1715390&amp;Theme=Imagery","1715390")</f>
        <v>1715390</v>
      </c>
      <c r="G280" s="16" t="s">
        <v>1481</v>
      </c>
      <c r="H280" s="17">
        <v>42535</v>
      </c>
      <c r="I280" s="18">
        <v>355000</v>
      </c>
      <c r="J280" s="19">
        <v>0.24</v>
      </c>
      <c r="K280" s="16" t="s">
        <v>78</v>
      </c>
      <c r="L280" s="16" t="s">
        <v>38</v>
      </c>
      <c r="M280" s="16" t="s">
        <v>1482</v>
      </c>
      <c r="N280" s="16" t="s">
        <v>1483</v>
      </c>
    </row>
    <row r="281" spans="1:14" ht="20.100000000000001" customHeight="1" x14ac:dyDescent="0.25">
      <c r="A281" s="15" t="s">
        <v>1484</v>
      </c>
      <c r="B281" s="16" t="s">
        <v>96</v>
      </c>
      <c r="C281" s="15">
        <v>8400204</v>
      </c>
      <c r="D281" s="16" t="s">
        <v>178</v>
      </c>
      <c r="E281" s="15" t="s">
        <v>1485</v>
      </c>
      <c r="F281" s="21" t="str">
        <f>HYPERLINK("https://psearch.kitsapgov.com/webappa/index.html?parcelID=1378587&amp;Theme=Imagery","1378587")</f>
        <v>1378587</v>
      </c>
      <c r="G281" s="16" t="s">
        <v>1486</v>
      </c>
      <c r="H281" s="17">
        <v>42536</v>
      </c>
      <c r="I281" s="18">
        <v>950000</v>
      </c>
      <c r="J281" s="19">
        <v>7.58</v>
      </c>
      <c r="K281" s="16" t="s">
        <v>147</v>
      </c>
      <c r="L281" s="16" t="s">
        <v>38</v>
      </c>
      <c r="M281" s="16" t="s">
        <v>1487</v>
      </c>
      <c r="N281" s="16" t="s">
        <v>1488</v>
      </c>
    </row>
    <row r="282" spans="1:14" ht="20.100000000000001" customHeight="1" x14ac:dyDescent="0.25">
      <c r="A282" s="15" t="s">
        <v>1489</v>
      </c>
      <c r="B282" s="16" t="s">
        <v>57</v>
      </c>
      <c r="C282" s="15">
        <v>8303601</v>
      </c>
      <c r="D282" s="16" t="s">
        <v>50</v>
      </c>
      <c r="E282" s="15" t="s">
        <v>1490</v>
      </c>
      <c r="F282" s="21" t="str">
        <f>HYPERLINK("https://psearch.kitsapgov.com/webappa/index.html?parcelID=1289859&amp;Theme=Imagery","1289859")</f>
        <v>1289859</v>
      </c>
      <c r="G282" s="16" t="s">
        <v>1491</v>
      </c>
      <c r="H282" s="17">
        <v>42531</v>
      </c>
      <c r="I282" s="18">
        <v>1500000</v>
      </c>
      <c r="J282" s="19">
        <v>4.79</v>
      </c>
      <c r="K282" s="16" t="s">
        <v>1339</v>
      </c>
      <c r="L282" s="16" t="s">
        <v>38</v>
      </c>
      <c r="M282" s="16" t="s">
        <v>1492</v>
      </c>
      <c r="N282" s="16" t="s">
        <v>1493</v>
      </c>
    </row>
    <row r="283" spans="1:14" ht="20.100000000000001" customHeight="1" x14ac:dyDescent="0.25">
      <c r="A283" s="15" t="s">
        <v>1494</v>
      </c>
      <c r="B283" s="16" t="s">
        <v>330</v>
      </c>
      <c r="C283" s="15">
        <v>8100510</v>
      </c>
      <c r="D283" s="16" t="s">
        <v>401</v>
      </c>
      <c r="E283" s="15" t="s">
        <v>1495</v>
      </c>
      <c r="F283" s="21" t="str">
        <f>HYPERLINK("https://psearch.kitsapgov.com/webappa/index.html?parcelID=1438647&amp;Theme=Imagery","1438647")</f>
        <v>1438647</v>
      </c>
      <c r="G283" s="16" t="s">
        <v>1496</v>
      </c>
      <c r="H283" s="17">
        <v>42541</v>
      </c>
      <c r="I283" s="18">
        <v>79000</v>
      </c>
      <c r="J283" s="19">
        <v>0.18</v>
      </c>
      <c r="K283" s="16" t="s">
        <v>28</v>
      </c>
      <c r="L283" s="16" t="s">
        <v>20</v>
      </c>
      <c r="M283" s="16" t="s">
        <v>1497</v>
      </c>
      <c r="N283" s="16" t="s">
        <v>81</v>
      </c>
    </row>
    <row r="284" spans="1:14" ht="20.100000000000001" customHeight="1" x14ac:dyDescent="0.25">
      <c r="A284" s="15" t="s">
        <v>1498</v>
      </c>
      <c r="B284" s="16" t="s">
        <v>49</v>
      </c>
      <c r="C284" s="15">
        <v>8402307</v>
      </c>
      <c r="D284" s="16" t="s">
        <v>151</v>
      </c>
      <c r="E284" s="15" t="s">
        <v>1499</v>
      </c>
      <c r="F284" s="21" t="str">
        <f>HYPERLINK("https://psearch.kitsapgov.com/webappa/index.html?parcelID=1048867&amp;Theme=Imagery","1048867")</f>
        <v>1048867</v>
      </c>
      <c r="G284" s="16" t="s">
        <v>1500</v>
      </c>
      <c r="H284" s="17">
        <v>42538</v>
      </c>
      <c r="I284" s="18">
        <v>180000</v>
      </c>
      <c r="J284" s="19">
        <v>1.46</v>
      </c>
      <c r="K284" s="16" t="s">
        <v>371</v>
      </c>
      <c r="L284" s="16" t="s">
        <v>129</v>
      </c>
      <c r="M284" s="16" t="s">
        <v>1501</v>
      </c>
      <c r="N284" s="16" t="s">
        <v>1502</v>
      </c>
    </row>
    <row r="285" spans="1:14" ht="20.100000000000001" customHeight="1" x14ac:dyDescent="0.25">
      <c r="A285" s="15" t="s">
        <v>1503</v>
      </c>
      <c r="B285" s="16" t="s">
        <v>57</v>
      </c>
      <c r="C285" s="15">
        <v>8401508</v>
      </c>
      <c r="D285" s="16" t="s">
        <v>90</v>
      </c>
      <c r="E285" s="15" t="s">
        <v>1504</v>
      </c>
      <c r="F285" s="21" t="str">
        <f>HYPERLINK("https://psearch.kitsapgov.com/webappa/index.html?parcelID=2478253&amp;Theme=Imagery","2478253")</f>
        <v>2478253</v>
      </c>
      <c r="G285" s="16" t="s">
        <v>1505</v>
      </c>
      <c r="H285" s="17">
        <v>42543</v>
      </c>
      <c r="I285" s="18">
        <v>250000</v>
      </c>
      <c r="J285" s="19">
        <v>10.39</v>
      </c>
      <c r="K285" s="16" t="s">
        <v>78</v>
      </c>
      <c r="L285" s="16" t="s">
        <v>38</v>
      </c>
      <c r="M285" s="16" t="s">
        <v>1345</v>
      </c>
      <c r="N285" s="16" t="s">
        <v>1506</v>
      </c>
    </row>
    <row r="286" spans="1:14" ht="20.100000000000001" customHeight="1" x14ac:dyDescent="0.25">
      <c r="A286" s="15" t="s">
        <v>1507</v>
      </c>
      <c r="B286" s="16" t="s">
        <v>239</v>
      </c>
      <c r="C286" s="15">
        <v>8400301</v>
      </c>
      <c r="D286" s="16" t="s">
        <v>1139</v>
      </c>
      <c r="E286" s="15" t="s">
        <v>1508</v>
      </c>
      <c r="F286" s="21" t="str">
        <f>HYPERLINK("https://psearch.kitsapgov.com/webappa/index.html?parcelID=1582816&amp;Theme=Imagery","1582816")</f>
        <v>1582816</v>
      </c>
      <c r="G286" s="16" t="s">
        <v>1509</v>
      </c>
      <c r="H286" s="17">
        <v>42544</v>
      </c>
      <c r="I286" s="18">
        <v>380000</v>
      </c>
      <c r="J286" s="19">
        <v>0.25</v>
      </c>
      <c r="K286" s="16" t="s">
        <v>1142</v>
      </c>
      <c r="L286" s="16" t="s">
        <v>856</v>
      </c>
      <c r="M286" s="16" t="s">
        <v>1510</v>
      </c>
      <c r="N286" s="16" t="s">
        <v>1511</v>
      </c>
    </row>
    <row r="287" spans="1:14" ht="20.100000000000001" customHeight="1" x14ac:dyDescent="0.25">
      <c r="A287" s="15" t="s">
        <v>1512</v>
      </c>
      <c r="B287" s="16" t="s">
        <v>318</v>
      </c>
      <c r="C287" s="15">
        <v>8402391</v>
      </c>
      <c r="D287" s="16" t="s">
        <v>227</v>
      </c>
      <c r="E287" s="15" t="s">
        <v>1513</v>
      </c>
      <c r="F287" s="21" t="str">
        <f>HYPERLINK("https://psearch.kitsapgov.com/webappa/index.html?parcelID=2511152&amp;Theme=Imagery","2511152")</f>
        <v>2511152</v>
      </c>
      <c r="G287" s="16" t="s">
        <v>1514</v>
      </c>
      <c r="H287" s="17">
        <v>42548</v>
      </c>
      <c r="I287" s="18">
        <v>585000</v>
      </c>
      <c r="J287" s="19">
        <v>0</v>
      </c>
      <c r="L287" s="16" t="s">
        <v>290</v>
      </c>
      <c r="M287" s="16" t="s">
        <v>1515</v>
      </c>
      <c r="N287" s="16" t="s">
        <v>1516</v>
      </c>
    </row>
    <row r="288" spans="1:14" ht="20.100000000000001" customHeight="1" x14ac:dyDescent="0.25">
      <c r="A288" s="15" t="s">
        <v>1517</v>
      </c>
      <c r="B288" s="16" t="s">
        <v>49</v>
      </c>
      <c r="C288" s="15">
        <v>9100591</v>
      </c>
      <c r="D288" s="16" t="s">
        <v>848</v>
      </c>
      <c r="E288" s="15" t="s">
        <v>1130</v>
      </c>
      <c r="F288" s="21" t="str">
        <f>HYPERLINK("https://psearch.kitsapgov.com/webappa/index.html?parcelID=1673573&amp;Theme=Imagery","1673573")</f>
        <v>1673573</v>
      </c>
      <c r="G288" s="16" t="s">
        <v>433</v>
      </c>
      <c r="H288" s="17">
        <v>42551</v>
      </c>
      <c r="I288" s="18">
        <v>179000</v>
      </c>
      <c r="J288" s="19">
        <v>0.12</v>
      </c>
      <c r="K288" s="16" t="s">
        <v>61</v>
      </c>
      <c r="L288" s="16" t="s">
        <v>38</v>
      </c>
      <c r="M288" s="16" t="s">
        <v>1132</v>
      </c>
      <c r="N288" s="16" t="s">
        <v>1518</v>
      </c>
    </row>
    <row r="289" spans="1:14" ht="20.100000000000001" customHeight="1" x14ac:dyDescent="0.25">
      <c r="A289" s="15" t="s">
        <v>1519</v>
      </c>
      <c r="B289" s="16" t="s">
        <v>89</v>
      </c>
      <c r="C289" s="15">
        <v>8402307</v>
      </c>
      <c r="D289" s="16" t="s">
        <v>151</v>
      </c>
      <c r="E289" s="15" t="s">
        <v>1520</v>
      </c>
      <c r="F289" s="21" t="str">
        <f>HYPERLINK("https://psearch.kitsapgov.com/webappa/index.html?parcelID=1048776&amp;Theme=Imagery","1048776")</f>
        <v>1048776</v>
      </c>
      <c r="G289" s="16" t="s">
        <v>1521</v>
      </c>
      <c r="H289" s="17">
        <v>42541</v>
      </c>
      <c r="I289" s="18">
        <v>525000</v>
      </c>
      <c r="J289" s="19">
        <v>2.85</v>
      </c>
      <c r="K289" s="16" t="s">
        <v>154</v>
      </c>
      <c r="L289" s="16" t="s">
        <v>38</v>
      </c>
      <c r="M289" s="16" t="s">
        <v>1522</v>
      </c>
      <c r="N289" s="16" t="s">
        <v>1523</v>
      </c>
    </row>
    <row r="290" spans="1:14" ht="20.100000000000001" customHeight="1" x14ac:dyDescent="0.25">
      <c r="A290" s="15" t="s">
        <v>1524</v>
      </c>
      <c r="B290" s="16" t="s">
        <v>214</v>
      </c>
      <c r="C290" s="15">
        <v>9100541</v>
      </c>
      <c r="D290" s="16" t="s">
        <v>215</v>
      </c>
      <c r="E290" s="15" t="s">
        <v>1525</v>
      </c>
      <c r="F290" s="21" t="str">
        <f>HYPERLINK("https://psearch.kitsapgov.com/webappa/index.html?parcelID=1432368&amp;Theme=Imagery","1432368")</f>
        <v>1432368</v>
      </c>
      <c r="G290" s="16" t="s">
        <v>1526</v>
      </c>
      <c r="H290" s="17">
        <v>42550</v>
      </c>
      <c r="I290" s="18">
        <v>377000</v>
      </c>
      <c r="J290" s="19">
        <v>0.18</v>
      </c>
      <c r="K290" s="16" t="s">
        <v>1070</v>
      </c>
      <c r="L290" s="16" t="s">
        <v>38</v>
      </c>
      <c r="M290" s="16" t="s">
        <v>1527</v>
      </c>
      <c r="N290" s="16" t="s">
        <v>1528</v>
      </c>
    </row>
    <row r="291" spans="1:14" ht="20.100000000000001" customHeight="1" x14ac:dyDescent="0.25">
      <c r="A291" s="15" t="s">
        <v>1529</v>
      </c>
      <c r="B291" s="16" t="s">
        <v>214</v>
      </c>
      <c r="C291" s="15">
        <v>9100541</v>
      </c>
      <c r="D291" s="16" t="s">
        <v>215</v>
      </c>
      <c r="E291" s="15" t="s">
        <v>1530</v>
      </c>
      <c r="F291" s="21" t="str">
        <f>HYPERLINK("https://psearch.kitsapgov.com/webappa/index.html?parcelID=1432269&amp;Theme=Imagery","1432269")</f>
        <v>1432269</v>
      </c>
      <c r="G291" s="16" t="s">
        <v>1531</v>
      </c>
      <c r="H291" s="17">
        <v>42548</v>
      </c>
      <c r="I291" s="18">
        <v>430000</v>
      </c>
      <c r="J291" s="19">
        <v>0.14000000000000001</v>
      </c>
      <c r="K291" s="16" t="s">
        <v>296</v>
      </c>
      <c r="L291" s="16" t="s">
        <v>38</v>
      </c>
      <c r="M291" s="16" t="s">
        <v>1532</v>
      </c>
      <c r="N291" s="16" t="s">
        <v>1528</v>
      </c>
    </row>
    <row r="292" spans="1:14" ht="20.100000000000001" customHeight="1" x14ac:dyDescent="0.25">
      <c r="A292" s="15" t="s">
        <v>1533</v>
      </c>
      <c r="B292" s="16" t="s">
        <v>49</v>
      </c>
      <c r="C292" s="15">
        <v>9402395</v>
      </c>
      <c r="D292" s="16" t="s">
        <v>580</v>
      </c>
      <c r="E292" s="15" t="s">
        <v>1534</v>
      </c>
      <c r="F292" s="21" t="str">
        <f>HYPERLINK("https://psearch.kitsapgov.com/webappa/index.html?parcelID=1512318&amp;Theme=Imagery","1512318")</f>
        <v>1512318</v>
      </c>
      <c r="G292" s="16" t="s">
        <v>1535</v>
      </c>
      <c r="H292" s="17">
        <v>42515</v>
      </c>
      <c r="I292" s="18">
        <v>23715</v>
      </c>
      <c r="J292" s="19">
        <v>0.16</v>
      </c>
      <c r="K292" s="16" t="s">
        <v>583</v>
      </c>
      <c r="L292" s="16" t="s">
        <v>246</v>
      </c>
      <c r="M292" s="16" t="s">
        <v>1536</v>
      </c>
      <c r="N292" s="16" t="s">
        <v>1537</v>
      </c>
    </row>
    <row r="293" spans="1:14" ht="20.100000000000001" customHeight="1" x14ac:dyDescent="0.25">
      <c r="A293" s="15" t="s">
        <v>1538</v>
      </c>
      <c r="B293" s="16" t="s">
        <v>1539</v>
      </c>
      <c r="C293" s="15">
        <v>8303601</v>
      </c>
      <c r="D293" s="16" t="s">
        <v>50</v>
      </c>
      <c r="E293" s="15" t="s">
        <v>1540</v>
      </c>
      <c r="F293" s="21" t="str">
        <f>HYPERLINK("https://psearch.kitsapgov.com/webappa/index.html?parcelID=2459113&amp;Theme=Imagery","2459113")</f>
        <v>2459113</v>
      </c>
      <c r="G293" s="16" t="s">
        <v>1541</v>
      </c>
      <c r="H293" s="17">
        <v>42550</v>
      </c>
      <c r="I293" s="18">
        <v>7250000</v>
      </c>
      <c r="J293" s="19">
        <v>0</v>
      </c>
      <c r="L293" s="16" t="s">
        <v>38</v>
      </c>
      <c r="M293" s="16" t="s">
        <v>1542</v>
      </c>
      <c r="N293" s="16" t="s">
        <v>1543</v>
      </c>
    </row>
    <row r="294" spans="1:14" ht="20.100000000000001" customHeight="1" x14ac:dyDescent="0.25">
      <c r="A294" s="15" t="s">
        <v>1544</v>
      </c>
      <c r="B294" s="16" t="s">
        <v>347</v>
      </c>
      <c r="C294" s="15">
        <v>9402401</v>
      </c>
      <c r="D294" s="16" t="s">
        <v>629</v>
      </c>
      <c r="E294" s="15" t="s">
        <v>1545</v>
      </c>
      <c r="F294" s="21" t="str">
        <f>HYPERLINK("https://psearch.kitsapgov.com/webappa/index.html?parcelID=2200830&amp;Theme=Imagery","2200830")</f>
        <v>2200830</v>
      </c>
      <c r="G294" s="16" t="s">
        <v>1546</v>
      </c>
      <c r="H294" s="17">
        <v>42555</v>
      </c>
      <c r="I294" s="18">
        <v>255000</v>
      </c>
      <c r="J294" s="19">
        <v>0.6</v>
      </c>
      <c r="K294" s="16" t="s">
        <v>128</v>
      </c>
      <c r="L294" s="16" t="s">
        <v>38</v>
      </c>
      <c r="M294" s="16" t="s">
        <v>1547</v>
      </c>
      <c r="N294" s="16" t="s">
        <v>1548</v>
      </c>
    </row>
    <row r="295" spans="1:14" ht="20.100000000000001" customHeight="1" x14ac:dyDescent="0.25">
      <c r="A295" s="15" t="s">
        <v>1549</v>
      </c>
      <c r="B295" s="16" t="s">
        <v>286</v>
      </c>
      <c r="C295" s="15">
        <v>8400206</v>
      </c>
      <c r="D295" s="16" t="s">
        <v>287</v>
      </c>
      <c r="E295" s="15" t="s">
        <v>1550</v>
      </c>
      <c r="F295" s="21" t="str">
        <f>HYPERLINK("https://psearch.kitsapgov.com/webappa/index.html?parcelID=2260883&amp;Theme=Imagery","2260883")</f>
        <v>2260883</v>
      </c>
      <c r="G295" s="16" t="s">
        <v>1551</v>
      </c>
      <c r="H295" s="17">
        <v>42552</v>
      </c>
      <c r="I295" s="18">
        <v>40000</v>
      </c>
      <c r="J295" s="19">
        <v>0</v>
      </c>
      <c r="L295" s="16" t="s">
        <v>290</v>
      </c>
      <c r="M295" s="16" t="s">
        <v>1552</v>
      </c>
      <c r="N295" s="16" t="s">
        <v>1553</v>
      </c>
    </row>
    <row r="296" spans="1:14" ht="20.100000000000001" customHeight="1" x14ac:dyDescent="0.25">
      <c r="A296" s="15" t="s">
        <v>1554</v>
      </c>
      <c r="B296" s="16" t="s">
        <v>96</v>
      </c>
      <c r="C296" s="15">
        <v>9100542</v>
      </c>
      <c r="D296" s="16" t="s">
        <v>454</v>
      </c>
      <c r="E296" s="15" t="s">
        <v>1555</v>
      </c>
      <c r="F296" s="21" t="str">
        <f>HYPERLINK("https://psearch.kitsapgov.com/webappa/index.html?parcelID=2172559&amp;Theme=Imagery","2172559")</f>
        <v>2172559</v>
      </c>
      <c r="G296" s="16" t="s">
        <v>1556</v>
      </c>
      <c r="H296" s="17">
        <v>42558</v>
      </c>
      <c r="I296" s="18">
        <v>240000</v>
      </c>
      <c r="J296" s="19">
        <v>0.18</v>
      </c>
      <c r="K296" s="16" t="s">
        <v>85</v>
      </c>
      <c r="L296" s="16" t="s">
        <v>38</v>
      </c>
      <c r="M296" s="16" t="s">
        <v>1557</v>
      </c>
      <c r="N296" s="16" t="s">
        <v>1558</v>
      </c>
    </row>
    <row r="297" spans="1:14" ht="20.100000000000001" customHeight="1" x14ac:dyDescent="0.25">
      <c r="A297" s="15" t="s">
        <v>1559</v>
      </c>
      <c r="B297" s="16" t="s">
        <v>124</v>
      </c>
      <c r="C297" s="15">
        <v>9400390</v>
      </c>
      <c r="D297" s="16" t="s">
        <v>1560</v>
      </c>
      <c r="E297" s="15" t="s">
        <v>1561</v>
      </c>
      <c r="F297" s="21" t="str">
        <f>HYPERLINK("https://psearch.kitsapgov.com/webappa/index.html?parcelID=1591908&amp;Theme=Imagery","1591908")</f>
        <v>1591908</v>
      </c>
      <c r="G297" s="16" t="s">
        <v>1562</v>
      </c>
      <c r="H297" s="17">
        <v>42548</v>
      </c>
      <c r="I297" s="18">
        <v>347100</v>
      </c>
      <c r="J297" s="19">
        <v>0.13</v>
      </c>
      <c r="K297" s="16" t="s">
        <v>397</v>
      </c>
      <c r="L297" s="16" t="s">
        <v>38</v>
      </c>
      <c r="M297" s="16" t="s">
        <v>1563</v>
      </c>
      <c r="N297" s="16" t="s">
        <v>1564</v>
      </c>
    </row>
    <row r="298" spans="1:14" ht="20.100000000000001" customHeight="1" x14ac:dyDescent="0.25">
      <c r="A298" s="15" t="s">
        <v>1565</v>
      </c>
      <c r="B298" s="16" t="s">
        <v>286</v>
      </c>
      <c r="C298" s="15">
        <v>8303660</v>
      </c>
      <c r="D298" s="16" t="s">
        <v>313</v>
      </c>
      <c r="E298" s="15" t="s">
        <v>1566</v>
      </c>
      <c r="F298" s="21" t="str">
        <f>HYPERLINK("https://psearch.kitsapgov.com/webappa/index.html?parcelID=1882216&amp;Theme=Imagery","1882216")</f>
        <v>1882216</v>
      </c>
      <c r="G298" s="16" t="s">
        <v>1567</v>
      </c>
      <c r="H298" s="17">
        <v>42551</v>
      </c>
      <c r="I298" s="18">
        <v>52000</v>
      </c>
      <c r="J298" s="19">
        <v>0</v>
      </c>
      <c r="L298" s="16" t="s">
        <v>38</v>
      </c>
      <c r="M298" s="16" t="s">
        <v>1568</v>
      </c>
      <c r="N298" s="16" t="s">
        <v>1569</v>
      </c>
    </row>
    <row r="299" spans="1:14" ht="20.100000000000001" customHeight="1" x14ac:dyDescent="0.25">
      <c r="A299" s="15" t="s">
        <v>1570</v>
      </c>
      <c r="B299" s="16" t="s">
        <v>66</v>
      </c>
      <c r="C299" s="15">
        <v>8100506</v>
      </c>
      <c r="D299" s="16" t="s">
        <v>25</v>
      </c>
      <c r="E299" s="15" t="s">
        <v>1571</v>
      </c>
      <c r="F299" s="21" t="str">
        <f>HYPERLINK("https://psearch.kitsapgov.com/webappa/index.html?parcelID=1104454&amp;Theme=Imagery","1104454")</f>
        <v>1104454</v>
      </c>
      <c r="G299" s="16" t="s">
        <v>1572</v>
      </c>
      <c r="H299" s="17">
        <v>42562</v>
      </c>
      <c r="I299" s="18">
        <v>600000</v>
      </c>
      <c r="J299" s="19">
        <v>2.0099999999999998</v>
      </c>
      <c r="K299" s="16" t="s">
        <v>85</v>
      </c>
      <c r="L299" s="16" t="s">
        <v>981</v>
      </c>
      <c r="M299" s="16" t="s">
        <v>1573</v>
      </c>
      <c r="N299" s="16" t="s">
        <v>1574</v>
      </c>
    </row>
    <row r="300" spans="1:14" ht="20.100000000000001" customHeight="1" x14ac:dyDescent="0.25">
      <c r="A300" s="15" t="s">
        <v>1575</v>
      </c>
      <c r="B300" s="16" t="s">
        <v>57</v>
      </c>
      <c r="C300" s="15">
        <v>8402308</v>
      </c>
      <c r="D300" s="16" t="s">
        <v>75</v>
      </c>
      <c r="E300" s="15" t="s">
        <v>1576</v>
      </c>
      <c r="F300" s="21" t="str">
        <f>HYPERLINK("https://psearch.kitsapgov.com/webappa/index.html?parcelID=2603819&amp;Theme=Imagery","2603819")</f>
        <v>2603819</v>
      </c>
      <c r="G300" s="16" t="s">
        <v>1577</v>
      </c>
      <c r="H300" s="17">
        <v>42557</v>
      </c>
      <c r="I300" s="18">
        <v>750</v>
      </c>
      <c r="J300" s="19">
        <v>0.08</v>
      </c>
      <c r="K300" s="16" t="s">
        <v>1578</v>
      </c>
      <c r="L300" s="16" t="s">
        <v>246</v>
      </c>
      <c r="M300" s="16" t="s">
        <v>1579</v>
      </c>
      <c r="N300" s="16" t="s">
        <v>1580</v>
      </c>
    </row>
    <row r="301" spans="1:14" ht="20.100000000000001" customHeight="1" x14ac:dyDescent="0.25">
      <c r="A301" s="15" t="s">
        <v>1581</v>
      </c>
      <c r="B301" s="16" t="s">
        <v>286</v>
      </c>
      <c r="C301" s="15">
        <v>8303660</v>
      </c>
      <c r="D301" s="16" t="s">
        <v>313</v>
      </c>
      <c r="E301" s="15" t="s">
        <v>1582</v>
      </c>
      <c r="F301" s="21" t="str">
        <f>HYPERLINK("https://psearch.kitsapgov.com/webappa/index.html?parcelID=1883750&amp;Theme=Imagery","1883750")</f>
        <v>1883750</v>
      </c>
      <c r="G301" s="16" t="s">
        <v>1583</v>
      </c>
      <c r="H301" s="17">
        <v>42551</v>
      </c>
      <c r="I301" s="18">
        <v>47000</v>
      </c>
      <c r="J301" s="19">
        <v>0</v>
      </c>
      <c r="L301" s="16" t="s">
        <v>372</v>
      </c>
      <c r="M301" s="16" t="s">
        <v>1568</v>
      </c>
      <c r="N301" s="16" t="s">
        <v>1584</v>
      </c>
    </row>
    <row r="302" spans="1:14" ht="20.100000000000001" customHeight="1" x14ac:dyDescent="0.25">
      <c r="A302" s="15" t="s">
        <v>1585</v>
      </c>
      <c r="B302" s="16" t="s">
        <v>124</v>
      </c>
      <c r="C302" s="15">
        <v>8401104</v>
      </c>
      <c r="D302" s="16" t="s">
        <v>144</v>
      </c>
      <c r="E302" s="15" t="s">
        <v>1586</v>
      </c>
      <c r="F302" s="21" t="str">
        <f>HYPERLINK("https://psearch.kitsapgov.com/webappa/index.html?parcelID=1924083&amp;Theme=Imagery","1924083")</f>
        <v>1924083</v>
      </c>
      <c r="G302" s="16" t="s">
        <v>1587</v>
      </c>
      <c r="H302" s="17">
        <v>42566</v>
      </c>
      <c r="I302" s="18">
        <v>529077</v>
      </c>
      <c r="J302" s="19">
        <v>0.09</v>
      </c>
      <c r="K302" s="16" t="s">
        <v>194</v>
      </c>
      <c r="L302" s="16" t="s">
        <v>129</v>
      </c>
      <c r="M302" s="16" t="s">
        <v>1501</v>
      </c>
      <c r="N302" s="16" t="s">
        <v>1588</v>
      </c>
    </row>
    <row r="303" spans="1:14" ht="20.100000000000001" customHeight="1" x14ac:dyDescent="0.25">
      <c r="A303" s="15" t="s">
        <v>1589</v>
      </c>
      <c r="B303" s="16" t="s">
        <v>286</v>
      </c>
      <c r="C303" s="15">
        <v>8303660</v>
      </c>
      <c r="D303" s="16" t="s">
        <v>313</v>
      </c>
      <c r="E303" s="15" t="s">
        <v>1590</v>
      </c>
      <c r="F303" s="21" t="str">
        <f>HYPERLINK("https://psearch.kitsapgov.com/webappa/index.html?parcelID=1881192&amp;Theme=Imagery","1881192")</f>
        <v>1881192</v>
      </c>
      <c r="G303" s="16" t="s">
        <v>1591</v>
      </c>
      <c r="H303" s="17">
        <v>42566</v>
      </c>
      <c r="I303" s="18">
        <v>35000</v>
      </c>
      <c r="J303" s="19">
        <v>0</v>
      </c>
      <c r="L303" s="16" t="s">
        <v>290</v>
      </c>
      <c r="M303" s="16" t="s">
        <v>1592</v>
      </c>
      <c r="N303" s="16" t="s">
        <v>1593</v>
      </c>
    </row>
    <row r="304" spans="1:14" ht="20.100000000000001" customHeight="1" x14ac:dyDescent="0.25">
      <c r="A304" s="15" t="s">
        <v>1594</v>
      </c>
      <c r="B304" s="16" t="s">
        <v>33</v>
      </c>
      <c r="C304" s="15">
        <v>8402306</v>
      </c>
      <c r="D304" s="16" t="s">
        <v>34</v>
      </c>
      <c r="E304" s="15" t="s">
        <v>1595</v>
      </c>
      <c r="F304" s="21" t="str">
        <f>HYPERLINK("https://psearch.kitsapgov.com/webappa/index.html?parcelID=1737949&amp;Theme=Imagery","1737949")</f>
        <v>1737949</v>
      </c>
      <c r="G304" s="16" t="s">
        <v>1596</v>
      </c>
      <c r="H304" s="17">
        <v>42579</v>
      </c>
      <c r="I304" s="18">
        <v>825000</v>
      </c>
      <c r="J304" s="19">
        <v>0.5</v>
      </c>
      <c r="K304" s="16" t="s">
        <v>1597</v>
      </c>
      <c r="L304" s="16" t="s">
        <v>38</v>
      </c>
      <c r="M304" s="16" t="s">
        <v>1598</v>
      </c>
      <c r="N304" s="16" t="s">
        <v>1599</v>
      </c>
    </row>
    <row r="305" spans="1:14" ht="20.100000000000001" customHeight="1" x14ac:dyDescent="0.25">
      <c r="A305" s="15" t="s">
        <v>1600</v>
      </c>
      <c r="B305" s="16" t="s">
        <v>57</v>
      </c>
      <c r="C305" s="15">
        <v>8400301</v>
      </c>
      <c r="D305" s="16" t="s">
        <v>1139</v>
      </c>
      <c r="E305" s="15" t="s">
        <v>1601</v>
      </c>
      <c r="F305" s="21" t="str">
        <f>HYPERLINK("https://psearch.kitsapgov.com/webappa/index.html?parcelID=2414381&amp;Theme=Imagery","2414381")</f>
        <v>2414381</v>
      </c>
      <c r="G305" s="16" t="s">
        <v>1602</v>
      </c>
      <c r="H305" s="17">
        <v>42576</v>
      </c>
      <c r="I305" s="18">
        <v>275000</v>
      </c>
      <c r="J305" s="19">
        <v>1.78</v>
      </c>
      <c r="K305" s="16" t="s">
        <v>78</v>
      </c>
      <c r="L305" s="16" t="s">
        <v>1344</v>
      </c>
      <c r="M305" s="16" t="s">
        <v>1345</v>
      </c>
      <c r="N305" s="16" t="s">
        <v>1346</v>
      </c>
    </row>
    <row r="306" spans="1:14" ht="20.100000000000001" customHeight="1" x14ac:dyDescent="0.25">
      <c r="A306" s="15" t="s">
        <v>1603</v>
      </c>
      <c r="B306" s="16" t="s">
        <v>214</v>
      </c>
      <c r="C306" s="15">
        <v>9100542</v>
      </c>
      <c r="D306" s="16" t="s">
        <v>454</v>
      </c>
      <c r="E306" s="15" t="s">
        <v>1604</v>
      </c>
      <c r="F306" s="21" t="str">
        <f>HYPERLINK("https://psearch.kitsapgov.com/webappa/index.html?parcelID=1712389&amp;Theme=Imagery","1712389")</f>
        <v>1712389</v>
      </c>
      <c r="G306" s="16" t="s">
        <v>1605</v>
      </c>
      <c r="H306" s="17">
        <v>42576</v>
      </c>
      <c r="I306" s="18">
        <v>975000</v>
      </c>
      <c r="J306" s="19">
        <v>0.4</v>
      </c>
      <c r="K306" s="16" t="s">
        <v>1070</v>
      </c>
      <c r="L306" s="16" t="s">
        <v>38</v>
      </c>
      <c r="M306" s="16" t="s">
        <v>1606</v>
      </c>
      <c r="N306" s="16" t="s">
        <v>1607</v>
      </c>
    </row>
    <row r="307" spans="1:14" ht="20.100000000000001" customHeight="1" x14ac:dyDescent="0.25">
      <c r="A307" s="15" t="s">
        <v>1608</v>
      </c>
      <c r="B307" s="16" t="s">
        <v>57</v>
      </c>
      <c r="C307" s="15">
        <v>8402308</v>
      </c>
      <c r="D307" s="16" t="s">
        <v>75</v>
      </c>
      <c r="E307" s="15" t="s">
        <v>1609</v>
      </c>
      <c r="F307" s="21" t="str">
        <f>HYPERLINK("https://psearch.kitsapgov.com/webappa/index.html?parcelID=2605376&amp;Theme=Imagery","2605376")</f>
        <v>2605376</v>
      </c>
      <c r="G307" s="16" t="s">
        <v>107</v>
      </c>
      <c r="H307" s="17">
        <v>42577</v>
      </c>
      <c r="I307" s="18">
        <v>1000</v>
      </c>
      <c r="J307" s="19">
        <v>0.05</v>
      </c>
      <c r="K307" s="16" t="s">
        <v>1578</v>
      </c>
      <c r="L307" s="16" t="s">
        <v>246</v>
      </c>
      <c r="M307" s="16" t="s">
        <v>1610</v>
      </c>
      <c r="N307" s="16" t="s">
        <v>1580</v>
      </c>
    </row>
    <row r="308" spans="1:14" ht="20.100000000000001" customHeight="1" x14ac:dyDescent="0.25">
      <c r="A308" s="15" t="s">
        <v>1611</v>
      </c>
      <c r="B308" s="16" t="s">
        <v>358</v>
      </c>
      <c r="C308" s="15">
        <v>8100502</v>
      </c>
      <c r="D308" s="16" t="s">
        <v>67</v>
      </c>
      <c r="E308" s="15" t="s">
        <v>1612</v>
      </c>
      <c r="F308" s="21" t="str">
        <f>HYPERLINK("https://psearch.kitsapgov.com/webappa/index.html?parcelID=2592806&amp;Theme=Imagery","2592806")</f>
        <v>2592806</v>
      </c>
      <c r="G308" s="16" t="s">
        <v>1613</v>
      </c>
      <c r="H308" s="17">
        <v>42570</v>
      </c>
      <c r="I308" s="18">
        <v>3800000</v>
      </c>
      <c r="J308" s="19">
        <v>1.9</v>
      </c>
      <c r="K308" s="16" t="s">
        <v>85</v>
      </c>
      <c r="L308" s="16" t="s">
        <v>38</v>
      </c>
      <c r="M308" s="16" t="s">
        <v>1614</v>
      </c>
      <c r="N308" s="16" t="s">
        <v>1615</v>
      </c>
    </row>
    <row r="309" spans="1:14" ht="20.100000000000001" customHeight="1" x14ac:dyDescent="0.25">
      <c r="A309" s="15" t="s">
        <v>1616</v>
      </c>
      <c r="B309" s="16" t="s">
        <v>214</v>
      </c>
      <c r="C309" s="15">
        <v>9100521</v>
      </c>
      <c r="D309" s="16" t="s">
        <v>1393</v>
      </c>
      <c r="E309" s="15" t="s">
        <v>1617</v>
      </c>
      <c r="F309" s="21" t="str">
        <f>HYPERLINK("https://psearch.kitsapgov.com/webappa/index.html?parcelID=1440387&amp;Theme=Imagery","1440387")</f>
        <v>1440387</v>
      </c>
      <c r="G309" s="16" t="s">
        <v>1618</v>
      </c>
      <c r="H309" s="17">
        <v>42578</v>
      </c>
      <c r="I309" s="18">
        <v>700000</v>
      </c>
      <c r="J309" s="19">
        <v>0.21</v>
      </c>
      <c r="K309" s="16" t="s">
        <v>296</v>
      </c>
      <c r="L309" s="16" t="s">
        <v>38</v>
      </c>
      <c r="M309" s="16" t="s">
        <v>1619</v>
      </c>
      <c r="N309" s="16" t="s">
        <v>1620</v>
      </c>
    </row>
    <row r="310" spans="1:14" ht="20.100000000000001" customHeight="1" x14ac:dyDescent="0.25">
      <c r="A310" s="15" t="s">
        <v>1621</v>
      </c>
      <c r="B310" s="16" t="s">
        <v>49</v>
      </c>
      <c r="C310" s="15">
        <v>8402307</v>
      </c>
      <c r="D310" s="16" t="s">
        <v>151</v>
      </c>
      <c r="E310" s="15" t="s">
        <v>1499</v>
      </c>
      <c r="F310" s="21" t="str">
        <f>HYPERLINK("https://psearch.kitsapgov.com/webappa/index.html?parcelID=1048867&amp;Theme=Imagery","1048867")</f>
        <v>1048867</v>
      </c>
      <c r="G310" s="16" t="s">
        <v>1500</v>
      </c>
      <c r="H310" s="17">
        <v>42585</v>
      </c>
      <c r="I310" s="18">
        <v>160000</v>
      </c>
      <c r="J310" s="19">
        <v>1.46</v>
      </c>
      <c r="K310" s="16" t="s">
        <v>371</v>
      </c>
      <c r="L310" s="16" t="s">
        <v>20</v>
      </c>
      <c r="M310" s="16" t="s">
        <v>1502</v>
      </c>
      <c r="N310" s="16" t="s">
        <v>1622</v>
      </c>
    </row>
    <row r="311" spans="1:14" ht="20.100000000000001" customHeight="1" x14ac:dyDescent="0.25">
      <c r="A311" s="15" t="s">
        <v>1623</v>
      </c>
      <c r="B311" s="16" t="s">
        <v>57</v>
      </c>
      <c r="C311" s="15">
        <v>9402401</v>
      </c>
      <c r="D311" s="16" t="s">
        <v>629</v>
      </c>
      <c r="E311" s="15" t="s">
        <v>1624</v>
      </c>
      <c r="F311" s="21" t="str">
        <f>HYPERLINK("https://psearch.kitsapgov.com/webappa/index.html?parcelID=2448355&amp;Theme=Imagery","2448355")</f>
        <v>2448355</v>
      </c>
      <c r="G311" s="16" t="s">
        <v>1625</v>
      </c>
      <c r="H311" s="17">
        <v>42570</v>
      </c>
      <c r="I311" s="18">
        <v>2200</v>
      </c>
      <c r="J311" s="19">
        <v>48.02</v>
      </c>
      <c r="K311" s="16" t="s">
        <v>128</v>
      </c>
      <c r="L311" s="16" t="s">
        <v>542</v>
      </c>
      <c r="M311" s="16" t="s">
        <v>1626</v>
      </c>
      <c r="N311" s="16" t="s">
        <v>544</v>
      </c>
    </row>
    <row r="312" spans="1:14" ht="20.100000000000001" customHeight="1" x14ac:dyDescent="0.25">
      <c r="A312" s="15" t="s">
        <v>1627</v>
      </c>
      <c r="B312" s="16" t="s">
        <v>104</v>
      </c>
      <c r="C312" s="15">
        <v>9401141</v>
      </c>
      <c r="D312" s="16" t="s">
        <v>664</v>
      </c>
      <c r="E312" s="15" t="s">
        <v>665</v>
      </c>
      <c r="F312" s="21" t="str">
        <f>HYPERLINK("https://psearch.kitsapgov.com/webappa/index.html?parcelID=2009405&amp;Theme=Imagery","2009405")</f>
        <v>2009405</v>
      </c>
      <c r="G312" s="16" t="s">
        <v>666</v>
      </c>
      <c r="H312" s="17">
        <v>42598</v>
      </c>
      <c r="I312" s="18">
        <v>600000</v>
      </c>
      <c r="J312" s="19">
        <v>0.52</v>
      </c>
      <c r="K312" s="16" t="s">
        <v>128</v>
      </c>
      <c r="L312" s="16" t="s">
        <v>38</v>
      </c>
      <c r="M312" s="16" t="s">
        <v>1628</v>
      </c>
      <c r="N312" s="16" t="s">
        <v>1629</v>
      </c>
    </row>
    <row r="313" spans="1:14" ht="20.100000000000001" customHeight="1" x14ac:dyDescent="0.25">
      <c r="A313" s="15" t="s">
        <v>1630</v>
      </c>
      <c r="B313" s="16" t="s">
        <v>96</v>
      </c>
      <c r="C313" s="15">
        <v>8401101</v>
      </c>
      <c r="D313" s="16" t="s">
        <v>185</v>
      </c>
      <c r="E313" s="15" t="s">
        <v>1631</v>
      </c>
      <c r="F313" s="21" t="str">
        <f>HYPERLINK("https://psearch.kitsapgov.com/webappa/index.html?parcelID=1941392&amp;Theme=Imagery","1941392")</f>
        <v>1941392</v>
      </c>
      <c r="G313" s="16" t="s">
        <v>1632</v>
      </c>
      <c r="H313" s="17">
        <v>42591</v>
      </c>
      <c r="I313" s="18">
        <v>1400000</v>
      </c>
      <c r="J313" s="19">
        <v>1</v>
      </c>
      <c r="K313" s="16" t="s">
        <v>188</v>
      </c>
      <c r="L313" s="16" t="s">
        <v>79</v>
      </c>
      <c r="M313" s="16" t="s">
        <v>86</v>
      </c>
      <c r="N313" s="16" t="s">
        <v>1633</v>
      </c>
    </row>
    <row r="314" spans="1:14" ht="20.100000000000001" customHeight="1" x14ac:dyDescent="0.25">
      <c r="A314" s="15" t="s">
        <v>1634</v>
      </c>
      <c r="B314" s="16" t="s">
        <v>1353</v>
      </c>
      <c r="C314" s="15">
        <v>8401104</v>
      </c>
      <c r="D314" s="16" t="s">
        <v>144</v>
      </c>
      <c r="E314" s="15" t="s">
        <v>1635</v>
      </c>
      <c r="F314" s="21" t="str">
        <f>HYPERLINK("https://psearch.kitsapgov.com/webappa/index.html?parcelID=1123579&amp;Theme=Imagery","1123579")</f>
        <v>1123579</v>
      </c>
      <c r="G314" s="16" t="s">
        <v>1636</v>
      </c>
      <c r="H314" s="17">
        <v>42590</v>
      </c>
      <c r="I314" s="18">
        <v>110000</v>
      </c>
      <c r="J314" s="19">
        <v>0.57999999999999996</v>
      </c>
      <c r="K314" s="16" t="s">
        <v>194</v>
      </c>
      <c r="L314" s="16" t="s">
        <v>38</v>
      </c>
      <c r="M314" s="16" t="s">
        <v>1637</v>
      </c>
      <c r="N314" s="16" t="s">
        <v>1638</v>
      </c>
    </row>
    <row r="315" spans="1:14" ht="20.100000000000001" customHeight="1" x14ac:dyDescent="0.25">
      <c r="A315" s="15" t="s">
        <v>1639</v>
      </c>
      <c r="B315" s="16" t="s">
        <v>57</v>
      </c>
      <c r="C315" s="15">
        <v>8100505</v>
      </c>
      <c r="D315" s="16" t="s">
        <v>17</v>
      </c>
      <c r="E315" s="15" t="s">
        <v>1640</v>
      </c>
      <c r="F315" s="21" t="str">
        <f>HYPERLINK("https://psearch.kitsapgov.com/webappa/index.html?parcelID=1496819&amp;Theme=Imagery","1496819")</f>
        <v>1496819</v>
      </c>
      <c r="G315" s="16" t="s">
        <v>1641</v>
      </c>
      <c r="H315" s="17">
        <v>42606</v>
      </c>
      <c r="I315" s="18">
        <v>375000</v>
      </c>
      <c r="J315" s="19">
        <v>1.39</v>
      </c>
      <c r="K315" s="16" t="s">
        <v>457</v>
      </c>
      <c r="L315" s="16" t="s">
        <v>372</v>
      </c>
      <c r="M315" s="16" t="s">
        <v>1642</v>
      </c>
      <c r="N315" s="16" t="s">
        <v>1643</v>
      </c>
    </row>
    <row r="316" spans="1:14" ht="20.100000000000001" customHeight="1" x14ac:dyDescent="0.25">
      <c r="A316" s="15" t="s">
        <v>1644</v>
      </c>
      <c r="B316" s="16" t="s">
        <v>89</v>
      </c>
      <c r="C316" s="15">
        <v>8400301</v>
      </c>
      <c r="D316" s="16" t="s">
        <v>1139</v>
      </c>
      <c r="E316" s="15" t="s">
        <v>1645</v>
      </c>
      <c r="F316" s="21" t="str">
        <f>HYPERLINK("https://psearch.kitsapgov.com/webappa/index.html?parcelID=2595676&amp;Theme=Imagery","2595676")</f>
        <v>2595676</v>
      </c>
      <c r="G316" s="16" t="s">
        <v>1646</v>
      </c>
      <c r="H316" s="17">
        <v>42607</v>
      </c>
      <c r="I316" s="18">
        <v>1800000</v>
      </c>
      <c r="J316" s="19">
        <v>1.18</v>
      </c>
      <c r="K316" s="16" t="s">
        <v>78</v>
      </c>
      <c r="L316" s="16" t="s">
        <v>38</v>
      </c>
      <c r="M316" s="16" t="s">
        <v>1647</v>
      </c>
      <c r="N316" s="16" t="s">
        <v>1648</v>
      </c>
    </row>
    <row r="317" spans="1:14" ht="20.100000000000001" customHeight="1" x14ac:dyDescent="0.25">
      <c r="A317" s="15" t="s">
        <v>1649</v>
      </c>
      <c r="B317" s="16" t="s">
        <v>96</v>
      </c>
      <c r="C317" s="15">
        <v>8402307</v>
      </c>
      <c r="D317" s="16" t="s">
        <v>151</v>
      </c>
      <c r="E317" s="15" t="s">
        <v>1650</v>
      </c>
      <c r="F317" s="21" t="str">
        <f>HYPERLINK("https://psearch.kitsapgov.com/webappa/index.html?parcelID=1040849&amp;Theme=Imagery","1040849")</f>
        <v>1040849</v>
      </c>
      <c r="G317" s="16" t="s">
        <v>1651</v>
      </c>
      <c r="H317" s="17">
        <v>42607</v>
      </c>
      <c r="I317" s="18">
        <v>70000</v>
      </c>
      <c r="J317" s="19">
        <v>0.94</v>
      </c>
      <c r="K317" s="16" t="s">
        <v>583</v>
      </c>
      <c r="L317" s="16" t="s">
        <v>79</v>
      </c>
      <c r="M317" s="16" t="s">
        <v>1652</v>
      </c>
      <c r="N317" s="16" t="s">
        <v>1653</v>
      </c>
    </row>
    <row r="318" spans="1:14" ht="20.100000000000001" customHeight="1" x14ac:dyDescent="0.25">
      <c r="A318" s="15" t="s">
        <v>1654</v>
      </c>
      <c r="B318" s="16" t="s">
        <v>57</v>
      </c>
      <c r="C318" s="15">
        <v>8401104</v>
      </c>
      <c r="D318" s="16" t="s">
        <v>144</v>
      </c>
      <c r="E318" s="15" t="s">
        <v>1655</v>
      </c>
      <c r="F318" s="21" t="str">
        <f>HYPERLINK("https://psearch.kitsapgov.com/webappa/index.html?parcelID=1241348&amp;Theme=Imagery","1241348")</f>
        <v>1241348</v>
      </c>
      <c r="G318" s="16" t="s">
        <v>1656</v>
      </c>
      <c r="H318" s="17">
        <v>42612</v>
      </c>
      <c r="I318" s="18">
        <v>275000</v>
      </c>
      <c r="J318" s="19">
        <v>4.3</v>
      </c>
      <c r="K318" s="16" t="s">
        <v>78</v>
      </c>
      <c r="L318" s="16" t="s">
        <v>38</v>
      </c>
      <c r="M318" s="16" t="s">
        <v>1657</v>
      </c>
      <c r="N318" s="16" t="s">
        <v>415</v>
      </c>
    </row>
    <row r="319" spans="1:14" ht="20.100000000000001" customHeight="1" x14ac:dyDescent="0.25">
      <c r="A319" s="15" t="s">
        <v>1658</v>
      </c>
      <c r="B319" s="16" t="s">
        <v>286</v>
      </c>
      <c r="C319" s="15">
        <v>8303660</v>
      </c>
      <c r="D319" s="16" t="s">
        <v>313</v>
      </c>
      <c r="E319" s="15" t="s">
        <v>1659</v>
      </c>
      <c r="F319" s="21" t="str">
        <f>HYPERLINK("https://psearch.kitsapgov.com/webappa/index.html?parcelID=1881218&amp;Theme=Imagery","1881218")</f>
        <v>1881218</v>
      </c>
      <c r="G319" s="16" t="s">
        <v>1660</v>
      </c>
      <c r="H319" s="17">
        <v>42613</v>
      </c>
      <c r="I319" s="18">
        <v>50000</v>
      </c>
      <c r="J319" s="19">
        <v>0</v>
      </c>
      <c r="L319" s="16" t="s">
        <v>38</v>
      </c>
      <c r="M319" s="16" t="s">
        <v>1661</v>
      </c>
      <c r="N319" s="16" t="s">
        <v>1662</v>
      </c>
    </row>
    <row r="320" spans="1:14" ht="20.100000000000001" customHeight="1" x14ac:dyDescent="0.25">
      <c r="A320" s="15" t="s">
        <v>1663</v>
      </c>
      <c r="B320" s="16" t="s">
        <v>124</v>
      </c>
      <c r="C320" s="15">
        <v>9402395</v>
      </c>
      <c r="D320" s="16" t="s">
        <v>580</v>
      </c>
      <c r="E320" s="15" t="s">
        <v>1664</v>
      </c>
      <c r="F320" s="21" t="str">
        <f>HYPERLINK("https://psearch.kitsapgov.com/webappa/index.html?parcelID=2338580&amp;Theme=Imagery","2338580")</f>
        <v>2338580</v>
      </c>
      <c r="G320" s="16" t="s">
        <v>1665</v>
      </c>
      <c r="H320" s="17">
        <v>42608</v>
      </c>
      <c r="I320" s="18">
        <v>475000</v>
      </c>
      <c r="J320" s="19">
        <v>0.39</v>
      </c>
      <c r="K320" s="16" t="s">
        <v>1373</v>
      </c>
      <c r="L320" s="16" t="s">
        <v>38</v>
      </c>
      <c r="M320" s="16" t="s">
        <v>1666</v>
      </c>
      <c r="N320" s="16" t="s">
        <v>1667</v>
      </c>
    </row>
    <row r="321" spans="1:14" ht="20.100000000000001" customHeight="1" x14ac:dyDescent="0.25">
      <c r="A321" s="15" t="s">
        <v>1668</v>
      </c>
      <c r="B321" s="16" t="s">
        <v>89</v>
      </c>
      <c r="C321" s="15">
        <v>8401101</v>
      </c>
      <c r="D321" s="16" t="s">
        <v>185</v>
      </c>
      <c r="E321" s="15" t="s">
        <v>1669</v>
      </c>
      <c r="F321" s="21" t="str">
        <f>HYPERLINK("https://psearch.kitsapgov.com/webappa/index.html?parcelID=2104255&amp;Theme=Imagery","2104255")</f>
        <v>2104255</v>
      </c>
      <c r="G321" s="16" t="s">
        <v>1670</v>
      </c>
      <c r="H321" s="17">
        <v>42612</v>
      </c>
      <c r="I321" s="18">
        <v>307510</v>
      </c>
      <c r="J321" s="19">
        <v>0.12</v>
      </c>
      <c r="K321" s="16" t="s">
        <v>188</v>
      </c>
      <c r="L321" s="16" t="s">
        <v>38</v>
      </c>
      <c r="M321" s="16" t="s">
        <v>1671</v>
      </c>
      <c r="N321" s="16" t="s">
        <v>1672</v>
      </c>
    </row>
    <row r="322" spans="1:14" ht="20.100000000000001" customHeight="1" x14ac:dyDescent="0.25">
      <c r="A322" s="15" t="s">
        <v>1673</v>
      </c>
      <c r="B322" s="16" t="s">
        <v>239</v>
      </c>
      <c r="C322" s="15">
        <v>8402306</v>
      </c>
      <c r="D322" s="16" t="s">
        <v>34</v>
      </c>
      <c r="E322" s="15" t="s">
        <v>1674</v>
      </c>
      <c r="F322" s="21" t="str">
        <f>HYPERLINK("https://psearch.kitsapgov.com/webappa/index.html?parcelID=1506021&amp;Theme=Imagery","1506021")</f>
        <v>1506021</v>
      </c>
      <c r="G322" s="16" t="s">
        <v>1675</v>
      </c>
      <c r="H322" s="17">
        <v>42621</v>
      </c>
      <c r="I322" s="18">
        <v>1390000</v>
      </c>
      <c r="J322" s="19">
        <v>1.35</v>
      </c>
      <c r="K322" s="16" t="s">
        <v>1597</v>
      </c>
      <c r="L322" s="16" t="s">
        <v>79</v>
      </c>
      <c r="M322" s="16" t="s">
        <v>1676</v>
      </c>
      <c r="N322" s="16" t="s">
        <v>1677</v>
      </c>
    </row>
    <row r="323" spans="1:14" ht="20.100000000000001" customHeight="1" x14ac:dyDescent="0.25">
      <c r="A323" s="15" t="s">
        <v>1678</v>
      </c>
      <c r="B323" s="16" t="s">
        <v>347</v>
      </c>
      <c r="C323" s="15">
        <v>8402307</v>
      </c>
      <c r="D323" s="16" t="s">
        <v>151</v>
      </c>
      <c r="E323" s="15" t="s">
        <v>1679</v>
      </c>
      <c r="F323" s="21" t="str">
        <f>HYPERLINK("https://psearch.kitsapgov.com/webappa/index.html?parcelID=2605475&amp;Theme=Imagery","2605475")</f>
        <v>2605475</v>
      </c>
      <c r="G323" s="16" t="s">
        <v>1680</v>
      </c>
      <c r="H323" s="17">
        <v>42625</v>
      </c>
      <c r="I323" s="18">
        <v>775000</v>
      </c>
      <c r="J323" s="19">
        <v>1.08</v>
      </c>
      <c r="K323" s="16" t="s">
        <v>371</v>
      </c>
      <c r="L323" s="16" t="s">
        <v>20</v>
      </c>
      <c r="M323" s="16" t="s">
        <v>1681</v>
      </c>
      <c r="N323" s="16" t="s">
        <v>1682</v>
      </c>
    </row>
    <row r="324" spans="1:14" ht="20.100000000000001" customHeight="1" x14ac:dyDescent="0.25">
      <c r="A324" s="15" t="s">
        <v>1683</v>
      </c>
      <c r="B324" s="16" t="s">
        <v>49</v>
      </c>
      <c r="C324" s="15">
        <v>8303601</v>
      </c>
      <c r="D324" s="16" t="s">
        <v>50</v>
      </c>
      <c r="E324" s="15" t="s">
        <v>1684</v>
      </c>
      <c r="F324" s="21" t="str">
        <f>HYPERLINK("https://psearch.kitsapgov.com/webappa/index.html?parcelID=1305606&amp;Theme=Imagery","1305606")</f>
        <v>1305606</v>
      </c>
      <c r="G324" s="16" t="s">
        <v>1685</v>
      </c>
      <c r="H324" s="17">
        <v>42620</v>
      </c>
      <c r="I324" s="18">
        <v>550000</v>
      </c>
      <c r="J324" s="19">
        <v>0.24</v>
      </c>
      <c r="K324" s="16" t="s">
        <v>205</v>
      </c>
      <c r="L324" s="16" t="s">
        <v>20</v>
      </c>
      <c r="M324" s="16" t="s">
        <v>1686</v>
      </c>
      <c r="N324" s="16" t="s">
        <v>1687</v>
      </c>
    </row>
    <row r="325" spans="1:14" ht="20.100000000000001" customHeight="1" x14ac:dyDescent="0.25">
      <c r="A325" s="15" t="s">
        <v>1688</v>
      </c>
      <c r="B325" s="16" t="s">
        <v>1689</v>
      </c>
      <c r="C325" s="15">
        <v>9400390</v>
      </c>
      <c r="D325" s="16" t="s">
        <v>1560</v>
      </c>
      <c r="E325" s="15" t="s">
        <v>1690</v>
      </c>
      <c r="F325" s="21" t="str">
        <f>HYPERLINK("https://psearch.kitsapgov.com/webappa/index.html?parcelID=1404813&amp;Theme=Imagery","1404813")</f>
        <v>1404813</v>
      </c>
      <c r="G325" s="16" t="s">
        <v>1691</v>
      </c>
      <c r="H325" s="17">
        <v>42627</v>
      </c>
      <c r="I325" s="18">
        <v>1375000</v>
      </c>
      <c r="J325" s="19">
        <v>1.49</v>
      </c>
      <c r="K325" s="16" t="s">
        <v>397</v>
      </c>
      <c r="L325" s="16" t="s">
        <v>38</v>
      </c>
      <c r="M325" s="16" t="s">
        <v>1396</v>
      </c>
      <c r="N325" s="16" t="s">
        <v>1692</v>
      </c>
    </row>
    <row r="326" spans="1:14" ht="20.100000000000001" customHeight="1" x14ac:dyDescent="0.25">
      <c r="A326" s="15" t="s">
        <v>1693</v>
      </c>
      <c r="B326" s="16" t="s">
        <v>66</v>
      </c>
      <c r="C326" s="15">
        <v>8303601</v>
      </c>
      <c r="D326" s="16" t="s">
        <v>50</v>
      </c>
      <c r="E326" s="15" t="s">
        <v>1694</v>
      </c>
      <c r="F326" s="21" t="str">
        <f>HYPERLINK("https://psearch.kitsapgov.com/webappa/index.html?parcelID=1287218&amp;Theme=Imagery","1287218")</f>
        <v>1287218</v>
      </c>
      <c r="G326" s="16" t="s">
        <v>1695</v>
      </c>
      <c r="H326" s="17">
        <v>42626</v>
      </c>
      <c r="I326" s="18">
        <v>1450000</v>
      </c>
      <c r="J326" s="19">
        <v>4.5199999999999996</v>
      </c>
      <c r="K326" s="16" t="s">
        <v>1339</v>
      </c>
      <c r="L326" s="16" t="s">
        <v>38</v>
      </c>
      <c r="M326" s="16" t="s">
        <v>1696</v>
      </c>
      <c r="N326" s="16" t="s">
        <v>1697</v>
      </c>
    </row>
    <row r="327" spans="1:14" ht="20.100000000000001" customHeight="1" x14ac:dyDescent="0.25">
      <c r="A327" s="15" t="s">
        <v>1698</v>
      </c>
      <c r="B327" s="16" t="s">
        <v>442</v>
      </c>
      <c r="C327" s="15">
        <v>8400202</v>
      </c>
      <c r="D327" s="16" t="s">
        <v>158</v>
      </c>
      <c r="E327" s="15" t="s">
        <v>1699</v>
      </c>
      <c r="F327" s="21" t="str">
        <f>HYPERLINK("https://psearch.kitsapgov.com/webappa/index.html?parcelID=2464071&amp;Theme=Imagery","2464071")</f>
        <v>2464071</v>
      </c>
      <c r="G327" s="16" t="s">
        <v>1700</v>
      </c>
      <c r="H327" s="17">
        <v>42621</v>
      </c>
      <c r="I327" s="18">
        <v>2600000</v>
      </c>
      <c r="J327" s="19">
        <v>0.97</v>
      </c>
      <c r="K327" s="16" t="s">
        <v>100</v>
      </c>
      <c r="L327" s="16" t="s">
        <v>38</v>
      </c>
      <c r="M327" s="16" t="s">
        <v>1701</v>
      </c>
      <c r="N327" s="16" t="s">
        <v>1702</v>
      </c>
    </row>
    <row r="328" spans="1:14" ht="20.100000000000001" customHeight="1" x14ac:dyDescent="0.25">
      <c r="A328" s="15" t="s">
        <v>1703</v>
      </c>
      <c r="B328" s="16" t="s">
        <v>286</v>
      </c>
      <c r="C328" s="15">
        <v>8303660</v>
      </c>
      <c r="D328" s="16" t="s">
        <v>313</v>
      </c>
      <c r="E328" s="15" t="s">
        <v>1704</v>
      </c>
      <c r="F328" s="21" t="str">
        <f>HYPERLINK("https://psearch.kitsapgov.com/webappa/index.html?parcelID=1882711&amp;Theme=Imagery","1882711")</f>
        <v>1882711</v>
      </c>
      <c r="G328" s="16" t="s">
        <v>1705</v>
      </c>
      <c r="H328" s="17">
        <v>42619</v>
      </c>
      <c r="I328" s="18">
        <v>63000</v>
      </c>
      <c r="J328" s="19">
        <v>0</v>
      </c>
      <c r="L328" s="16" t="s">
        <v>290</v>
      </c>
      <c r="M328" s="16" t="s">
        <v>1706</v>
      </c>
      <c r="N328" s="16" t="s">
        <v>1707</v>
      </c>
    </row>
    <row r="329" spans="1:14" ht="20.100000000000001" customHeight="1" x14ac:dyDescent="0.25">
      <c r="A329" s="15" t="s">
        <v>1708</v>
      </c>
      <c r="B329" s="16" t="s">
        <v>239</v>
      </c>
      <c r="C329" s="15">
        <v>8100502</v>
      </c>
      <c r="D329" s="16" t="s">
        <v>67</v>
      </c>
      <c r="E329" s="15" t="s">
        <v>1709</v>
      </c>
      <c r="F329" s="21" t="str">
        <f>HYPERLINK("https://psearch.kitsapgov.com/webappa/index.html?parcelID=1148279&amp;Theme=Imagery","1148279")</f>
        <v>1148279</v>
      </c>
      <c r="G329" s="16" t="s">
        <v>1710</v>
      </c>
      <c r="H329" s="17">
        <v>42629</v>
      </c>
      <c r="I329" s="18">
        <v>180000</v>
      </c>
      <c r="J329" s="19">
        <v>0.24</v>
      </c>
      <c r="K329" s="16" t="s">
        <v>85</v>
      </c>
      <c r="L329" s="16" t="s">
        <v>372</v>
      </c>
      <c r="M329" s="16" t="s">
        <v>1711</v>
      </c>
      <c r="N329" s="16" t="s">
        <v>1712</v>
      </c>
    </row>
    <row r="330" spans="1:14" ht="20.100000000000001" customHeight="1" x14ac:dyDescent="0.25">
      <c r="A330" s="15" t="s">
        <v>1713</v>
      </c>
      <c r="B330" s="16" t="s">
        <v>57</v>
      </c>
      <c r="C330" s="15">
        <v>8400202</v>
      </c>
      <c r="D330" s="16" t="s">
        <v>158</v>
      </c>
      <c r="E330" s="15" t="s">
        <v>1714</v>
      </c>
      <c r="F330" s="21" t="str">
        <f>HYPERLINK("https://psearch.kitsapgov.com/webappa/index.html?parcelID=1329515&amp;Theme=Imagery","1329515")</f>
        <v>1329515</v>
      </c>
      <c r="G330" s="16" t="s">
        <v>1715</v>
      </c>
      <c r="H330" s="17">
        <v>42620</v>
      </c>
      <c r="I330" s="18">
        <v>3100</v>
      </c>
      <c r="J330" s="19">
        <v>0.11</v>
      </c>
      <c r="K330" s="16" t="s">
        <v>100</v>
      </c>
      <c r="L330" s="16" t="s">
        <v>246</v>
      </c>
      <c r="M330" s="16" t="s">
        <v>1716</v>
      </c>
      <c r="N330" s="16" t="s">
        <v>1717</v>
      </c>
    </row>
    <row r="331" spans="1:14" ht="20.100000000000001" customHeight="1" x14ac:dyDescent="0.25">
      <c r="A331" s="15" t="s">
        <v>1718</v>
      </c>
      <c r="B331" s="16" t="s">
        <v>164</v>
      </c>
      <c r="C331" s="15">
        <v>8303601</v>
      </c>
      <c r="D331" s="16" t="s">
        <v>50</v>
      </c>
      <c r="E331" s="15" t="s">
        <v>1719</v>
      </c>
      <c r="F331" s="21" t="str">
        <f>HYPERLINK("https://psearch.kitsapgov.com/webappa/index.html?parcelID=1885250&amp;Theme=Imagery","1885250")</f>
        <v>1885250</v>
      </c>
      <c r="G331" s="16" t="s">
        <v>1720</v>
      </c>
      <c r="H331" s="17">
        <v>42633</v>
      </c>
      <c r="I331" s="18">
        <v>464000</v>
      </c>
      <c r="J331" s="19">
        <v>0</v>
      </c>
      <c r="L331" s="16" t="s">
        <v>38</v>
      </c>
      <c r="M331" s="16" t="s">
        <v>1721</v>
      </c>
      <c r="N331" s="16" t="s">
        <v>1722</v>
      </c>
    </row>
    <row r="332" spans="1:14" ht="20.100000000000001" customHeight="1" x14ac:dyDescent="0.25">
      <c r="A332" s="15" t="s">
        <v>1723</v>
      </c>
      <c r="B332" s="16" t="s">
        <v>74</v>
      </c>
      <c r="C332" s="15">
        <v>8402307</v>
      </c>
      <c r="D332" s="16" t="s">
        <v>151</v>
      </c>
      <c r="E332" s="15" t="s">
        <v>1724</v>
      </c>
      <c r="F332" s="21" t="str">
        <f>HYPERLINK("https://psearch.kitsapgov.com/webappa/index.html?parcelID=2452209&amp;Theme=Imagery","2452209")</f>
        <v>2452209</v>
      </c>
      <c r="G332" s="16" t="s">
        <v>1725</v>
      </c>
      <c r="H332" s="17">
        <v>42612</v>
      </c>
      <c r="I332" s="18">
        <v>1500</v>
      </c>
      <c r="J332" s="19">
        <v>5.19</v>
      </c>
      <c r="K332" s="16" t="s">
        <v>147</v>
      </c>
      <c r="L332" s="16" t="s">
        <v>542</v>
      </c>
      <c r="M332" s="16" t="s">
        <v>1726</v>
      </c>
      <c r="N332" s="16" t="s">
        <v>544</v>
      </c>
    </row>
    <row r="333" spans="1:14" ht="20.100000000000001" customHeight="1" x14ac:dyDescent="0.25">
      <c r="A333" s="15" t="s">
        <v>1727</v>
      </c>
      <c r="B333" s="16" t="s">
        <v>286</v>
      </c>
      <c r="C333" s="15">
        <v>8303660</v>
      </c>
      <c r="D333" s="16" t="s">
        <v>313</v>
      </c>
      <c r="E333" s="15" t="s">
        <v>1728</v>
      </c>
      <c r="F333" s="21" t="str">
        <f>HYPERLINK("https://psearch.kitsapgov.com/webappa/index.html?parcelID=1882885&amp;Theme=Imagery","1882885")</f>
        <v>1882885</v>
      </c>
      <c r="G333" s="16" t="s">
        <v>1729</v>
      </c>
      <c r="H333" s="17">
        <v>42641</v>
      </c>
      <c r="I333" s="18">
        <v>62000</v>
      </c>
      <c r="J333" s="19">
        <v>0</v>
      </c>
      <c r="L333" s="16" t="s">
        <v>290</v>
      </c>
      <c r="M333" s="16" t="s">
        <v>315</v>
      </c>
      <c r="N333" s="16" t="s">
        <v>1730</v>
      </c>
    </row>
    <row r="334" spans="1:14" ht="20.100000000000001" customHeight="1" x14ac:dyDescent="0.25">
      <c r="A334" s="15" t="s">
        <v>1731</v>
      </c>
      <c r="B334" s="16" t="s">
        <v>96</v>
      </c>
      <c r="C334" s="15">
        <v>8303601</v>
      </c>
      <c r="D334" s="16" t="s">
        <v>50</v>
      </c>
      <c r="E334" s="15" t="s">
        <v>1732</v>
      </c>
      <c r="F334" s="21" t="str">
        <f>HYPERLINK("https://psearch.kitsapgov.com/webappa/index.html?parcelID=1310952&amp;Theme=Imagery","1310952")</f>
        <v>1310952</v>
      </c>
      <c r="G334" s="16" t="s">
        <v>1733</v>
      </c>
      <c r="H334" s="17">
        <v>42642</v>
      </c>
      <c r="I334" s="18">
        <v>2500000</v>
      </c>
      <c r="J334" s="19">
        <v>0.9</v>
      </c>
      <c r="K334" s="16" t="s">
        <v>326</v>
      </c>
      <c r="L334" s="16" t="s">
        <v>38</v>
      </c>
      <c r="M334" s="16" t="s">
        <v>1734</v>
      </c>
      <c r="N334" s="16" t="s">
        <v>1735</v>
      </c>
    </row>
    <row r="335" spans="1:14" ht="20.100000000000001" customHeight="1" x14ac:dyDescent="0.25">
      <c r="A335" s="15" t="s">
        <v>1736</v>
      </c>
      <c r="B335" s="16" t="s">
        <v>214</v>
      </c>
      <c r="C335" s="15">
        <v>9402396</v>
      </c>
      <c r="D335" s="16" t="s">
        <v>1737</v>
      </c>
      <c r="E335" s="15" t="s">
        <v>1738</v>
      </c>
      <c r="F335" s="21" t="str">
        <f>HYPERLINK("https://psearch.kitsapgov.com/webappa/index.html?parcelID=1966266&amp;Theme=Imagery","1966266")</f>
        <v>1966266</v>
      </c>
      <c r="G335" s="16" t="s">
        <v>1739</v>
      </c>
      <c r="H335" s="17">
        <v>42634</v>
      </c>
      <c r="I335" s="18">
        <v>640000</v>
      </c>
      <c r="J335" s="19">
        <v>0.14000000000000001</v>
      </c>
      <c r="K335" s="16" t="s">
        <v>274</v>
      </c>
      <c r="L335" s="16" t="s">
        <v>38</v>
      </c>
      <c r="M335" s="16" t="s">
        <v>1740</v>
      </c>
      <c r="N335" s="16" t="s">
        <v>1741</v>
      </c>
    </row>
    <row r="336" spans="1:14" ht="20.100000000000001" customHeight="1" x14ac:dyDescent="0.25">
      <c r="A336" s="15" t="s">
        <v>1742</v>
      </c>
      <c r="B336" s="16" t="s">
        <v>628</v>
      </c>
      <c r="C336" s="15">
        <v>9402401</v>
      </c>
      <c r="D336" s="16" t="s">
        <v>629</v>
      </c>
      <c r="E336" s="15" t="s">
        <v>1743</v>
      </c>
      <c r="F336" s="21" t="str">
        <f>HYPERLINK("https://psearch.kitsapgov.com/webappa/index.html?parcelID=1720929&amp;Theme=Imagery","1720929")</f>
        <v>1720929</v>
      </c>
      <c r="G336" s="16" t="s">
        <v>1744</v>
      </c>
      <c r="H336" s="17">
        <v>42620</v>
      </c>
      <c r="I336" s="18">
        <v>40717</v>
      </c>
      <c r="J336" s="19">
        <v>0.4</v>
      </c>
      <c r="K336" s="16" t="s">
        <v>1745</v>
      </c>
      <c r="L336" s="16" t="s">
        <v>246</v>
      </c>
      <c r="M336" s="16" t="s">
        <v>1746</v>
      </c>
      <c r="N336" s="16" t="s">
        <v>1747</v>
      </c>
    </row>
    <row r="337" spans="1:14" ht="20.100000000000001" customHeight="1" x14ac:dyDescent="0.25">
      <c r="A337" s="15" t="s">
        <v>1748</v>
      </c>
      <c r="B337" s="16" t="s">
        <v>704</v>
      </c>
      <c r="C337" s="15">
        <v>9402401</v>
      </c>
      <c r="D337" s="16" t="s">
        <v>629</v>
      </c>
      <c r="E337" s="15" t="s">
        <v>1749</v>
      </c>
      <c r="F337" s="21" t="str">
        <f>HYPERLINK("https://psearch.kitsapgov.com/webappa/index.html?parcelID=1042951&amp;Theme=Imagery","1042951")</f>
        <v>1042951</v>
      </c>
      <c r="G337" s="16" t="s">
        <v>1750</v>
      </c>
      <c r="H337" s="17">
        <v>42638</v>
      </c>
      <c r="I337" s="18">
        <v>1480000</v>
      </c>
      <c r="J337" s="19">
        <v>4.26</v>
      </c>
      <c r="K337" s="16" t="s">
        <v>128</v>
      </c>
      <c r="L337" s="16" t="s">
        <v>38</v>
      </c>
      <c r="M337" s="16" t="s">
        <v>1751</v>
      </c>
      <c r="N337" s="16" t="s">
        <v>1752</v>
      </c>
    </row>
    <row r="338" spans="1:14" ht="20.100000000000001" customHeight="1" x14ac:dyDescent="0.25">
      <c r="A338" s="15" t="s">
        <v>1753</v>
      </c>
      <c r="B338" s="16" t="s">
        <v>49</v>
      </c>
      <c r="C338" s="15">
        <v>8100510</v>
      </c>
      <c r="D338" s="16" t="s">
        <v>401</v>
      </c>
      <c r="E338" s="15" t="s">
        <v>1754</v>
      </c>
      <c r="F338" s="21" t="str">
        <f>HYPERLINK("https://psearch.kitsapgov.com/webappa/index.html?parcelID=1467257&amp;Theme=Imagery","1467257")</f>
        <v>1467257</v>
      </c>
      <c r="G338" s="16" t="s">
        <v>1755</v>
      </c>
      <c r="H338" s="17">
        <v>42647</v>
      </c>
      <c r="I338" s="18">
        <v>90000</v>
      </c>
      <c r="J338" s="19">
        <v>0.08</v>
      </c>
      <c r="K338" s="16" t="s">
        <v>28</v>
      </c>
      <c r="L338" s="16" t="s">
        <v>38</v>
      </c>
      <c r="M338" s="16" t="s">
        <v>1756</v>
      </c>
      <c r="N338" s="16" t="s">
        <v>600</v>
      </c>
    </row>
    <row r="339" spans="1:14" ht="20.100000000000001" customHeight="1" x14ac:dyDescent="0.25">
      <c r="A339" s="15" t="s">
        <v>1757</v>
      </c>
      <c r="B339" s="16" t="s">
        <v>104</v>
      </c>
      <c r="C339" s="15">
        <v>9100541</v>
      </c>
      <c r="D339" s="16" t="s">
        <v>215</v>
      </c>
      <c r="E339" s="15" t="s">
        <v>1758</v>
      </c>
      <c r="F339" s="21" t="str">
        <f>HYPERLINK("https://psearch.kitsapgov.com/webappa/index.html?parcelID=1424043&amp;Theme=Imagery","1424043")</f>
        <v>1424043</v>
      </c>
      <c r="G339" s="16" t="s">
        <v>1759</v>
      </c>
      <c r="H339" s="17">
        <v>42646</v>
      </c>
      <c r="I339" s="18">
        <v>125000</v>
      </c>
      <c r="J339" s="19">
        <v>0.14000000000000001</v>
      </c>
      <c r="K339" s="16" t="s">
        <v>235</v>
      </c>
      <c r="L339" s="16" t="s">
        <v>38</v>
      </c>
      <c r="M339" s="16" t="s">
        <v>1760</v>
      </c>
      <c r="N339" s="16" t="s">
        <v>1761</v>
      </c>
    </row>
    <row r="340" spans="1:14" ht="20.100000000000001" customHeight="1" x14ac:dyDescent="0.25">
      <c r="A340" s="15" t="s">
        <v>1762</v>
      </c>
      <c r="B340" s="16" t="s">
        <v>676</v>
      </c>
      <c r="C340" s="15">
        <v>8303601</v>
      </c>
      <c r="D340" s="16" t="s">
        <v>50</v>
      </c>
      <c r="E340" s="15" t="s">
        <v>1763</v>
      </c>
      <c r="F340" s="21" t="str">
        <f>HYPERLINK("https://psearch.kitsapgov.com/webappa/index.html?parcelID=1311109&amp;Theme=Imagery","1311109")</f>
        <v>1311109</v>
      </c>
      <c r="G340" s="16" t="s">
        <v>1764</v>
      </c>
      <c r="H340" s="17">
        <v>42633</v>
      </c>
      <c r="I340" s="18">
        <v>630000</v>
      </c>
      <c r="J340" s="19">
        <v>0.17</v>
      </c>
      <c r="K340" s="16" t="s">
        <v>326</v>
      </c>
      <c r="L340" s="16" t="s">
        <v>38</v>
      </c>
      <c r="M340" s="16" t="s">
        <v>1765</v>
      </c>
      <c r="N340" s="16" t="s">
        <v>1766</v>
      </c>
    </row>
    <row r="341" spans="1:14" ht="20.100000000000001" customHeight="1" x14ac:dyDescent="0.25">
      <c r="A341" s="15" t="s">
        <v>1767</v>
      </c>
      <c r="B341" s="16" t="s">
        <v>286</v>
      </c>
      <c r="C341" s="15">
        <v>8303660</v>
      </c>
      <c r="D341" s="16" t="s">
        <v>313</v>
      </c>
      <c r="E341" s="15" t="s">
        <v>1768</v>
      </c>
      <c r="F341" s="21" t="str">
        <f>HYPERLINK("https://psearch.kitsapgov.com/webappa/index.html?parcelID=1881457&amp;Theme=Imagery","1881457")</f>
        <v>1881457</v>
      </c>
      <c r="G341" s="16" t="s">
        <v>1769</v>
      </c>
      <c r="H341" s="17">
        <v>42656</v>
      </c>
      <c r="I341" s="18">
        <v>50000</v>
      </c>
      <c r="J341" s="19">
        <v>0</v>
      </c>
      <c r="L341" s="16" t="s">
        <v>290</v>
      </c>
      <c r="M341" s="16" t="s">
        <v>1770</v>
      </c>
      <c r="N341" s="16" t="s">
        <v>1771</v>
      </c>
    </row>
    <row r="342" spans="1:14" ht="20.100000000000001" customHeight="1" x14ac:dyDescent="0.25">
      <c r="A342" s="15" t="s">
        <v>1772</v>
      </c>
      <c r="B342" s="16" t="s">
        <v>214</v>
      </c>
      <c r="C342" s="15">
        <v>9100541</v>
      </c>
      <c r="D342" s="16" t="s">
        <v>215</v>
      </c>
      <c r="E342" s="15" t="s">
        <v>1773</v>
      </c>
      <c r="F342" s="21" t="str">
        <f>HYPERLINK("https://psearch.kitsapgov.com/webappa/index.html?parcelID=1428507&amp;Theme=Imagery","1428507")</f>
        <v>1428507</v>
      </c>
      <c r="G342" s="16" t="s">
        <v>1774</v>
      </c>
      <c r="H342" s="17">
        <v>42650</v>
      </c>
      <c r="I342" s="18">
        <v>331000</v>
      </c>
      <c r="J342" s="19">
        <v>0.12</v>
      </c>
      <c r="K342" s="16" t="s">
        <v>235</v>
      </c>
      <c r="L342" s="16" t="s">
        <v>38</v>
      </c>
      <c r="M342" s="16" t="s">
        <v>1775</v>
      </c>
      <c r="N342" s="16" t="s">
        <v>1776</v>
      </c>
    </row>
    <row r="343" spans="1:14" ht="20.100000000000001" customHeight="1" x14ac:dyDescent="0.25">
      <c r="A343" s="15" t="s">
        <v>1777</v>
      </c>
      <c r="B343" s="16" t="s">
        <v>393</v>
      </c>
      <c r="C343" s="15">
        <v>8401103</v>
      </c>
      <c r="D343" s="16" t="s">
        <v>826</v>
      </c>
      <c r="E343" s="15" t="s">
        <v>1778</v>
      </c>
      <c r="F343" s="21" t="str">
        <f>HYPERLINK("https://psearch.kitsapgov.com/webappa/index.html?parcelID=2026078&amp;Theme=Imagery","2026078")</f>
        <v>2026078</v>
      </c>
      <c r="G343" s="16" t="s">
        <v>1779</v>
      </c>
      <c r="H343" s="17">
        <v>42663</v>
      </c>
      <c r="I343" s="18">
        <v>37000000</v>
      </c>
      <c r="J343" s="19">
        <v>11.41</v>
      </c>
      <c r="K343" s="16" t="s">
        <v>708</v>
      </c>
      <c r="L343" s="16" t="s">
        <v>38</v>
      </c>
      <c r="M343" s="16" t="s">
        <v>1780</v>
      </c>
      <c r="N343" s="16" t="s">
        <v>1781</v>
      </c>
    </row>
    <row r="344" spans="1:14" ht="20.100000000000001" customHeight="1" x14ac:dyDescent="0.25">
      <c r="A344" s="15" t="s">
        <v>1782</v>
      </c>
      <c r="B344" s="16" t="s">
        <v>286</v>
      </c>
      <c r="C344" s="15">
        <v>8400206</v>
      </c>
      <c r="D344" s="16" t="s">
        <v>287</v>
      </c>
      <c r="E344" s="15" t="s">
        <v>1783</v>
      </c>
      <c r="F344" s="21" t="str">
        <f>HYPERLINK("https://psearch.kitsapgov.com/webappa/index.html?parcelID=2260867&amp;Theme=Imagery","2260867")</f>
        <v>2260867</v>
      </c>
      <c r="G344" s="16" t="s">
        <v>1551</v>
      </c>
      <c r="H344" s="17">
        <v>42663</v>
      </c>
      <c r="I344" s="18">
        <v>43500</v>
      </c>
      <c r="J344" s="19">
        <v>0</v>
      </c>
      <c r="L344" s="16" t="s">
        <v>38</v>
      </c>
      <c r="M344" s="16" t="s">
        <v>1784</v>
      </c>
      <c r="N344" s="16" t="s">
        <v>1785</v>
      </c>
    </row>
    <row r="345" spans="1:14" ht="20.100000000000001" customHeight="1" x14ac:dyDescent="0.25">
      <c r="A345" s="15" t="s">
        <v>1786</v>
      </c>
      <c r="B345" s="16" t="s">
        <v>66</v>
      </c>
      <c r="C345" s="15">
        <v>9100541</v>
      </c>
      <c r="D345" s="16" t="s">
        <v>215</v>
      </c>
      <c r="E345" s="15" t="s">
        <v>1787</v>
      </c>
      <c r="F345" s="21" t="str">
        <f>HYPERLINK("https://psearch.kitsapgov.com/webappa/index.html?parcelID=1462340&amp;Theme=Imagery","1462340")</f>
        <v>1462340</v>
      </c>
      <c r="G345" s="16" t="s">
        <v>908</v>
      </c>
      <c r="H345" s="17">
        <v>42670</v>
      </c>
      <c r="I345" s="18">
        <v>70000</v>
      </c>
      <c r="J345" s="19">
        <v>0.28000000000000003</v>
      </c>
      <c r="K345" s="16" t="s">
        <v>235</v>
      </c>
      <c r="L345" s="16" t="s">
        <v>981</v>
      </c>
      <c r="M345" s="16" t="s">
        <v>1788</v>
      </c>
      <c r="N345" s="16" t="s">
        <v>1789</v>
      </c>
    </row>
    <row r="346" spans="1:14" ht="20.100000000000001" customHeight="1" x14ac:dyDescent="0.25">
      <c r="A346" s="15" t="s">
        <v>1790</v>
      </c>
      <c r="B346" s="16" t="s">
        <v>442</v>
      </c>
      <c r="C346" s="15">
        <v>8401101</v>
      </c>
      <c r="D346" s="16" t="s">
        <v>185</v>
      </c>
      <c r="E346" s="15" t="s">
        <v>1791</v>
      </c>
      <c r="F346" s="21" t="str">
        <f>HYPERLINK("https://psearch.kitsapgov.com/webappa/index.html?parcelID=2271740&amp;Theme=Imagery","2271740")</f>
        <v>2271740</v>
      </c>
      <c r="G346" s="16" t="s">
        <v>1792</v>
      </c>
      <c r="H346" s="17">
        <v>42663</v>
      </c>
      <c r="I346" s="18">
        <v>1200000</v>
      </c>
      <c r="J346" s="19">
        <v>0.46</v>
      </c>
      <c r="K346" s="16" t="s">
        <v>188</v>
      </c>
      <c r="L346" s="16" t="s">
        <v>38</v>
      </c>
      <c r="M346" s="16" t="s">
        <v>758</v>
      </c>
      <c r="N346" s="16" t="s">
        <v>1793</v>
      </c>
    </row>
    <row r="347" spans="1:14" ht="20.100000000000001" customHeight="1" x14ac:dyDescent="0.25">
      <c r="A347" s="15" t="s">
        <v>1794</v>
      </c>
      <c r="B347" s="16" t="s">
        <v>442</v>
      </c>
      <c r="C347" s="15">
        <v>8100506</v>
      </c>
      <c r="D347" s="16" t="s">
        <v>25</v>
      </c>
      <c r="E347" s="15" t="s">
        <v>1795</v>
      </c>
      <c r="F347" s="21" t="str">
        <f>HYPERLINK("https://psearch.kitsapgov.com/webappa/index.html?parcelID=1106582&amp;Theme=Imagery","1106582")</f>
        <v>1106582</v>
      </c>
      <c r="G347" s="16" t="s">
        <v>1796</v>
      </c>
      <c r="H347" s="17">
        <v>42664</v>
      </c>
      <c r="I347" s="18">
        <v>1375000</v>
      </c>
      <c r="J347" s="19">
        <v>0.55000000000000004</v>
      </c>
      <c r="K347" s="16" t="s">
        <v>85</v>
      </c>
      <c r="L347" s="16" t="s">
        <v>38</v>
      </c>
      <c r="M347" s="16" t="s">
        <v>1797</v>
      </c>
      <c r="N347" s="16" t="s">
        <v>1798</v>
      </c>
    </row>
    <row r="348" spans="1:14" ht="20.100000000000001" customHeight="1" x14ac:dyDescent="0.25">
      <c r="A348" s="15" t="s">
        <v>1799</v>
      </c>
      <c r="B348" s="16" t="s">
        <v>57</v>
      </c>
      <c r="C348" s="15">
        <v>8400301</v>
      </c>
      <c r="D348" s="16" t="s">
        <v>1139</v>
      </c>
      <c r="E348" s="15" t="s">
        <v>1800</v>
      </c>
      <c r="F348" s="21" t="str">
        <f>HYPERLINK("https://psearch.kitsapgov.com/webappa/index.html?parcelID=2414373&amp;Theme=Imagery","2414373")</f>
        <v>2414373</v>
      </c>
      <c r="G348" s="16" t="s">
        <v>1602</v>
      </c>
      <c r="H348" s="17">
        <v>42670</v>
      </c>
      <c r="I348" s="18">
        <v>250000</v>
      </c>
      <c r="J348" s="19">
        <v>1.78</v>
      </c>
      <c r="K348" s="16" t="s">
        <v>78</v>
      </c>
      <c r="L348" s="16" t="s">
        <v>1344</v>
      </c>
      <c r="M348" s="16" t="s">
        <v>1345</v>
      </c>
      <c r="N348" s="16" t="s">
        <v>1346</v>
      </c>
    </row>
    <row r="349" spans="1:14" ht="20.100000000000001" customHeight="1" x14ac:dyDescent="0.25">
      <c r="A349" s="15" t="s">
        <v>1801</v>
      </c>
      <c r="B349" s="16" t="s">
        <v>89</v>
      </c>
      <c r="C349" s="15">
        <v>8401102</v>
      </c>
      <c r="D349" s="16" t="s">
        <v>766</v>
      </c>
      <c r="E349" s="15" t="s">
        <v>1802</v>
      </c>
      <c r="F349" s="21" t="str">
        <f>HYPERLINK("https://psearch.kitsapgov.com/webappa/index.html?parcelID=1658731&amp;Theme=Imagery","1658731")</f>
        <v>1658731</v>
      </c>
      <c r="G349" s="16" t="s">
        <v>1803</v>
      </c>
      <c r="H349" s="17">
        <v>42669</v>
      </c>
      <c r="I349" s="18">
        <v>250000</v>
      </c>
      <c r="J349" s="19">
        <v>0.06</v>
      </c>
      <c r="K349" s="16" t="s">
        <v>309</v>
      </c>
      <c r="L349" s="16" t="s">
        <v>38</v>
      </c>
      <c r="M349" s="16" t="s">
        <v>1804</v>
      </c>
      <c r="N349" s="16" t="s">
        <v>1805</v>
      </c>
    </row>
    <row r="350" spans="1:14" ht="20.100000000000001" customHeight="1" x14ac:dyDescent="0.25">
      <c r="A350" s="15" t="s">
        <v>1806</v>
      </c>
      <c r="B350" s="16" t="s">
        <v>124</v>
      </c>
      <c r="C350" s="15">
        <v>8401104</v>
      </c>
      <c r="D350" s="16" t="s">
        <v>144</v>
      </c>
      <c r="E350" s="15" t="s">
        <v>1807</v>
      </c>
      <c r="F350" s="21" t="str">
        <f>HYPERLINK("https://psearch.kitsapgov.com/webappa/index.html?parcelID=1924042&amp;Theme=Imagery","1924042")</f>
        <v>1924042</v>
      </c>
      <c r="G350" s="16" t="s">
        <v>1808</v>
      </c>
      <c r="H350" s="17">
        <v>42664</v>
      </c>
      <c r="I350" s="18">
        <v>300000</v>
      </c>
      <c r="J350" s="19">
        <v>0.08</v>
      </c>
      <c r="K350" s="16" t="s">
        <v>194</v>
      </c>
      <c r="L350" s="16" t="s">
        <v>463</v>
      </c>
      <c r="M350" s="16" t="s">
        <v>464</v>
      </c>
      <c r="N350" s="16" t="s">
        <v>1809</v>
      </c>
    </row>
    <row r="351" spans="1:14" ht="20.100000000000001" customHeight="1" x14ac:dyDescent="0.25">
      <c r="A351" s="15" t="s">
        <v>1810</v>
      </c>
      <c r="B351" s="16" t="s">
        <v>676</v>
      </c>
      <c r="C351" s="15">
        <v>9401120</v>
      </c>
      <c r="D351" s="16" t="s">
        <v>125</v>
      </c>
      <c r="E351" s="15" t="s">
        <v>1811</v>
      </c>
      <c r="F351" s="21" t="str">
        <f>HYPERLINK("https://psearch.kitsapgov.com/webappa/index.html?parcelID=1115195&amp;Theme=Imagery","1115195")</f>
        <v>1115195</v>
      </c>
      <c r="G351" s="16" t="s">
        <v>1812</v>
      </c>
      <c r="H351" s="17">
        <v>42668</v>
      </c>
      <c r="I351" s="18">
        <v>2000000</v>
      </c>
      <c r="J351" s="19">
        <v>5.92</v>
      </c>
      <c r="K351" s="16" t="s">
        <v>128</v>
      </c>
      <c r="L351" s="16" t="s">
        <v>856</v>
      </c>
      <c r="M351" s="16" t="s">
        <v>1813</v>
      </c>
      <c r="N351" s="16" t="s">
        <v>1814</v>
      </c>
    </row>
    <row r="352" spans="1:14" ht="20.100000000000001" customHeight="1" x14ac:dyDescent="0.25">
      <c r="A352" s="15" t="s">
        <v>1815</v>
      </c>
      <c r="B352" s="16" t="s">
        <v>1816</v>
      </c>
      <c r="C352" s="15">
        <v>9100541</v>
      </c>
      <c r="D352" s="16" t="s">
        <v>215</v>
      </c>
      <c r="E352" s="15" t="s">
        <v>1817</v>
      </c>
      <c r="F352" s="21" t="str">
        <f>HYPERLINK("https://psearch.kitsapgov.com/webappa/index.html?parcelID=1139013&amp;Theme=Imagery","1139013")</f>
        <v>1139013</v>
      </c>
      <c r="G352" s="16" t="s">
        <v>1818</v>
      </c>
      <c r="H352" s="17">
        <v>42685</v>
      </c>
      <c r="I352" s="18">
        <v>1287500</v>
      </c>
      <c r="J352" s="19">
        <v>0.28999999999999998</v>
      </c>
      <c r="K352" s="16" t="s">
        <v>218</v>
      </c>
      <c r="L352" s="16" t="s">
        <v>38</v>
      </c>
      <c r="M352" s="16" t="s">
        <v>1819</v>
      </c>
      <c r="N352" s="16" t="s">
        <v>1820</v>
      </c>
    </row>
    <row r="353" spans="1:14" ht="20.100000000000001" customHeight="1" x14ac:dyDescent="0.25">
      <c r="A353" s="15" t="s">
        <v>1821</v>
      </c>
      <c r="B353" s="16" t="s">
        <v>57</v>
      </c>
      <c r="C353" s="15">
        <v>8402307</v>
      </c>
      <c r="D353" s="16" t="s">
        <v>151</v>
      </c>
      <c r="E353" s="15" t="s">
        <v>1822</v>
      </c>
      <c r="F353" s="21" t="str">
        <f>HYPERLINK("https://psearch.kitsapgov.com/webappa/index.html?parcelID=1210400&amp;Theme=Imagery","1210400")</f>
        <v>1210400</v>
      </c>
      <c r="G353" s="16" t="s">
        <v>1823</v>
      </c>
      <c r="H353" s="17">
        <v>42688</v>
      </c>
      <c r="I353" s="18">
        <v>75000</v>
      </c>
      <c r="J353" s="19">
        <v>1.06</v>
      </c>
      <c r="K353" s="16" t="s">
        <v>78</v>
      </c>
      <c r="L353" s="16" t="s">
        <v>38</v>
      </c>
      <c r="M353" s="16" t="s">
        <v>1824</v>
      </c>
      <c r="N353" s="16" t="s">
        <v>1825</v>
      </c>
    </row>
    <row r="354" spans="1:14" ht="20.100000000000001" customHeight="1" x14ac:dyDescent="0.25">
      <c r="A354" s="15" t="s">
        <v>1826</v>
      </c>
      <c r="B354" s="16" t="s">
        <v>214</v>
      </c>
      <c r="C354" s="15">
        <v>9100591</v>
      </c>
      <c r="D354" s="16" t="s">
        <v>848</v>
      </c>
      <c r="E354" s="15" t="s">
        <v>1827</v>
      </c>
      <c r="F354" s="21" t="str">
        <f>HYPERLINK("https://psearch.kitsapgov.com/webappa/index.html?parcelID=1729904&amp;Theme=Imagery","1729904")</f>
        <v>1729904</v>
      </c>
      <c r="G354" s="16" t="s">
        <v>1828</v>
      </c>
      <c r="H354" s="17">
        <v>42676</v>
      </c>
      <c r="I354" s="18">
        <v>380000</v>
      </c>
      <c r="J354" s="19">
        <v>7.25</v>
      </c>
      <c r="K354" s="16" t="s">
        <v>397</v>
      </c>
      <c r="L354" s="16" t="s">
        <v>20</v>
      </c>
      <c r="M354" s="16" t="s">
        <v>1829</v>
      </c>
      <c r="N354" s="16" t="s">
        <v>1830</v>
      </c>
    </row>
    <row r="355" spans="1:14" ht="20.100000000000001" customHeight="1" x14ac:dyDescent="0.25">
      <c r="A355" s="15" t="s">
        <v>1831</v>
      </c>
      <c r="B355" s="16" t="s">
        <v>1031</v>
      </c>
      <c r="C355" s="15">
        <v>8401101</v>
      </c>
      <c r="D355" s="16" t="s">
        <v>185</v>
      </c>
      <c r="E355" s="15" t="s">
        <v>1832</v>
      </c>
      <c r="F355" s="21" t="str">
        <f>HYPERLINK("https://psearch.kitsapgov.com/webappa/index.html?parcelID=2351807&amp;Theme=Imagery","2351807")</f>
        <v>2351807</v>
      </c>
      <c r="G355" s="16" t="s">
        <v>1833</v>
      </c>
      <c r="H355" s="17">
        <v>42691</v>
      </c>
      <c r="I355" s="18">
        <v>4500000</v>
      </c>
      <c r="J355" s="19">
        <v>1.68</v>
      </c>
      <c r="K355" s="16" t="s">
        <v>188</v>
      </c>
      <c r="L355" s="16" t="s">
        <v>38</v>
      </c>
      <c r="M355" s="16" t="s">
        <v>1834</v>
      </c>
      <c r="N355" s="16" t="s">
        <v>1835</v>
      </c>
    </row>
    <row r="356" spans="1:14" ht="20.100000000000001" customHeight="1" x14ac:dyDescent="0.25">
      <c r="A356" s="15" t="s">
        <v>1836</v>
      </c>
      <c r="B356" s="16" t="s">
        <v>57</v>
      </c>
      <c r="C356" s="15">
        <v>8401508</v>
      </c>
      <c r="D356" s="16" t="s">
        <v>90</v>
      </c>
      <c r="E356" s="15" t="s">
        <v>1837</v>
      </c>
      <c r="F356" s="21" t="str">
        <f>HYPERLINK("https://psearch.kitsapgov.com/webappa/index.html?parcelID=2274991&amp;Theme=Imagery","2274991")</f>
        <v>2274991</v>
      </c>
      <c r="G356" s="16" t="s">
        <v>1838</v>
      </c>
      <c r="H356" s="17">
        <v>42688</v>
      </c>
      <c r="I356" s="18">
        <v>350000</v>
      </c>
      <c r="J356" s="19">
        <v>12.02</v>
      </c>
      <c r="K356" s="16" t="s">
        <v>78</v>
      </c>
      <c r="L356" s="16" t="s">
        <v>29</v>
      </c>
      <c r="M356" s="16" t="s">
        <v>1839</v>
      </c>
      <c r="N356" s="16" t="s">
        <v>1840</v>
      </c>
    </row>
    <row r="357" spans="1:14" ht="20.100000000000001" customHeight="1" x14ac:dyDescent="0.25">
      <c r="A357" s="15" t="s">
        <v>1841</v>
      </c>
      <c r="B357" s="16" t="s">
        <v>57</v>
      </c>
      <c r="C357" s="15">
        <v>8402307</v>
      </c>
      <c r="D357" s="16" t="s">
        <v>151</v>
      </c>
      <c r="E357" s="15" t="s">
        <v>1842</v>
      </c>
      <c r="F357" s="21" t="str">
        <f>HYPERLINK("https://psearch.kitsapgov.com/webappa/index.html?parcelID=1505106&amp;Theme=Imagery","1505106")</f>
        <v>1505106</v>
      </c>
      <c r="G357" s="16" t="s">
        <v>1843</v>
      </c>
      <c r="H357" s="17">
        <v>42689</v>
      </c>
      <c r="I357" s="18">
        <v>189000</v>
      </c>
      <c r="J357" s="19">
        <v>0.93</v>
      </c>
      <c r="K357" s="16" t="s">
        <v>154</v>
      </c>
      <c r="L357" s="16" t="s">
        <v>38</v>
      </c>
      <c r="M357" s="16" t="s">
        <v>1844</v>
      </c>
      <c r="N357" s="16" t="s">
        <v>1845</v>
      </c>
    </row>
    <row r="358" spans="1:14" ht="20.100000000000001" customHeight="1" x14ac:dyDescent="0.25">
      <c r="A358" s="15" t="s">
        <v>1846</v>
      </c>
      <c r="B358" s="16" t="s">
        <v>89</v>
      </c>
      <c r="C358" s="15">
        <v>8100506</v>
      </c>
      <c r="D358" s="16" t="s">
        <v>25</v>
      </c>
      <c r="E358" s="15" t="s">
        <v>1847</v>
      </c>
      <c r="F358" s="21" t="str">
        <f>HYPERLINK("https://psearch.kitsapgov.com/webappa/index.html?parcelID=1500800&amp;Theme=Imagery","1500800")</f>
        <v>1500800</v>
      </c>
      <c r="G358" s="16" t="s">
        <v>1848</v>
      </c>
      <c r="H358" s="17">
        <v>42690</v>
      </c>
      <c r="I358" s="18">
        <v>450000</v>
      </c>
      <c r="J358" s="19">
        <v>0.43</v>
      </c>
      <c r="K358" s="16" t="s">
        <v>85</v>
      </c>
      <c r="L358" s="16" t="s">
        <v>1204</v>
      </c>
      <c r="M358" s="16" t="s">
        <v>1849</v>
      </c>
      <c r="N358" s="16" t="s">
        <v>1850</v>
      </c>
    </row>
    <row r="359" spans="1:14" ht="20.100000000000001" customHeight="1" x14ac:dyDescent="0.25">
      <c r="A359" s="15" t="s">
        <v>1851</v>
      </c>
      <c r="B359" s="16" t="s">
        <v>96</v>
      </c>
      <c r="C359" s="15">
        <v>8401102</v>
      </c>
      <c r="D359" s="16" t="s">
        <v>766</v>
      </c>
      <c r="E359" s="15" t="s">
        <v>1852</v>
      </c>
      <c r="F359" s="21" t="str">
        <f>HYPERLINK("https://psearch.kitsapgov.com/webappa/index.html?parcelID=1658608&amp;Theme=Imagery","1658608")</f>
        <v>1658608</v>
      </c>
      <c r="G359" s="16" t="s">
        <v>1853</v>
      </c>
      <c r="H359" s="17">
        <v>42690</v>
      </c>
      <c r="I359" s="18">
        <v>210000</v>
      </c>
      <c r="J359" s="19">
        <v>0.11</v>
      </c>
      <c r="K359" s="16" t="s">
        <v>309</v>
      </c>
      <c r="L359" s="16" t="s">
        <v>38</v>
      </c>
      <c r="M359" s="16" t="s">
        <v>1854</v>
      </c>
      <c r="N359" s="16" t="s">
        <v>1855</v>
      </c>
    </row>
    <row r="360" spans="1:14" ht="20.100000000000001" customHeight="1" x14ac:dyDescent="0.25">
      <c r="A360" s="15" t="s">
        <v>1856</v>
      </c>
      <c r="B360" s="16" t="s">
        <v>368</v>
      </c>
      <c r="C360" s="15">
        <v>8100505</v>
      </c>
      <c r="D360" s="16" t="s">
        <v>17</v>
      </c>
      <c r="E360" s="15" t="s">
        <v>1857</v>
      </c>
      <c r="F360" s="21" t="str">
        <f>HYPERLINK("https://psearch.kitsapgov.com/webappa/index.html?parcelID=2102929&amp;Theme=Imagery","2102929")</f>
        <v>2102929</v>
      </c>
      <c r="G360" s="16" t="s">
        <v>1858</v>
      </c>
      <c r="H360" s="17">
        <v>42692</v>
      </c>
      <c r="I360" s="18">
        <v>1050000</v>
      </c>
      <c r="J360" s="19">
        <v>0.75</v>
      </c>
      <c r="K360" s="16" t="s">
        <v>457</v>
      </c>
      <c r="L360" s="16" t="s">
        <v>856</v>
      </c>
      <c r="M360" s="16" t="s">
        <v>1859</v>
      </c>
      <c r="N360" s="16" t="s">
        <v>1860</v>
      </c>
    </row>
    <row r="361" spans="1:14" ht="20.100000000000001" customHeight="1" x14ac:dyDescent="0.25">
      <c r="A361" s="15" t="s">
        <v>1861</v>
      </c>
      <c r="B361" s="16" t="s">
        <v>49</v>
      </c>
      <c r="C361" s="15">
        <v>8100510</v>
      </c>
      <c r="D361" s="16" t="s">
        <v>401</v>
      </c>
      <c r="E361" s="15" t="s">
        <v>1754</v>
      </c>
      <c r="F361" s="21" t="str">
        <f>HYPERLINK("https://psearch.kitsapgov.com/webappa/index.html?parcelID=1467257&amp;Theme=Imagery","1467257")</f>
        <v>1467257</v>
      </c>
      <c r="G361" s="16" t="s">
        <v>1755</v>
      </c>
      <c r="H361" s="17">
        <v>42695</v>
      </c>
      <c r="I361" s="18">
        <v>120000</v>
      </c>
      <c r="J361" s="19">
        <v>0.08</v>
      </c>
      <c r="K361" s="16" t="s">
        <v>28</v>
      </c>
      <c r="L361" s="16" t="s">
        <v>20</v>
      </c>
      <c r="M361" s="16" t="s">
        <v>600</v>
      </c>
      <c r="N361" s="16" t="s">
        <v>1862</v>
      </c>
    </row>
    <row r="362" spans="1:14" ht="20.100000000000001" customHeight="1" x14ac:dyDescent="0.25">
      <c r="A362" s="15" t="s">
        <v>1863</v>
      </c>
      <c r="B362" s="16" t="s">
        <v>66</v>
      </c>
      <c r="C362" s="15">
        <v>8100506</v>
      </c>
      <c r="D362" s="16" t="s">
        <v>25</v>
      </c>
      <c r="E362" s="15" t="s">
        <v>83</v>
      </c>
      <c r="F362" s="21" t="str">
        <f>HYPERLINK("https://psearch.kitsapgov.com/webappa/index.html?parcelID=1104447&amp;Theme=Imagery","1104447")</f>
        <v>1104447</v>
      </c>
      <c r="G362" s="16" t="s">
        <v>84</v>
      </c>
      <c r="H362" s="17">
        <v>42697</v>
      </c>
      <c r="I362" s="18">
        <v>220000</v>
      </c>
      <c r="J362" s="19">
        <v>0.38</v>
      </c>
      <c r="K362" s="16" t="s">
        <v>85</v>
      </c>
      <c r="L362" s="16" t="s">
        <v>20</v>
      </c>
      <c r="M362" s="16" t="s">
        <v>87</v>
      </c>
      <c r="N362" s="16" t="s">
        <v>1864</v>
      </c>
    </row>
    <row r="363" spans="1:14" ht="20.100000000000001" customHeight="1" x14ac:dyDescent="0.25">
      <c r="A363" s="15" t="s">
        <v>1865</v>
      </c>
      <c r="B363" s="16" t="s">
        <v>49</v>
      </c>
      <c r="C363" s="15">
        <v>8100504</v>
      </c>
      <c r="D363" s="16" t="s">
        <v>58</v>
      </c>
      <c r="E363" s="15" t="s">
        <v>912</v>
      </c>
      <c r="F363" s="21" t="str">
        <f>HYPERLINK("https://psearch.kitsapgov.com/webappa/index.html?parcelID=1159045&amp;Theme=Imagery","1159045")</f>
        <v>1159045</v>
      </c>
      <c r="G363" s="16" t="s">
        <v>913</v>
      </c>
      <c r="H363" s="17">
        <v>42702</v>
      </c>
      <c r="I363" s="18">
        <v>116000</v>
      </c>
      <c r="J363" s="19">
        <v>1.1200000000000001</v>
      </c>
      <c r="K363" s="16" t="s">
        <v>78</v>
      </c>
      <c r="L363" s="16" t="s">
        <v>38</v>
      </c>
      <c r="M363" s="16" t="s">
        <v>1866</v>
      </c>
      <c r="N363" s="16" t="s">
        <v>600</v>
      </c>
    </row>
    <row r="364" spans="1:14" ht="20.100000000000001" customHeight="1" x14ac:dyDescent="0.25">
      <c r="A364" s="15" t="s">
        <v>1867</v>
      </c>
      <c r="B364" s="16" t="s">
        <v>89</v>
      </c>
      <c r="C364" s="15">
        <v>8402306</v>
      </c>
      <c r="D364" s="16" t="s">
        <v>34</v>
      </c>
      <c r="E364" s="15" t="s">
        <v>1868</v>
      </c>
      <c r="F364" s="21" t="str">
        <f>HYPERLINK("https://psearch.kitsapgov.com/webappa/index.html?parcelID=1913763&amp;Theme=Imagery","1913763")</f>
        <v>1913763</v>
      </c>
      <c r="G364" s="16" t="s">
        <v>1869</v>
      </c>
      <c r="H364" s="17">
        <v>42704</v>
      </c>
      <c r="I364" s="18">
        <v>219900</v>
      </c>
      <c r="J364" s="19">
        <v>0.06</v>
      </c>
      <c r="K364" s="16" t="s">
        <v>154</v>
      </c>
      <c r="L364" s="16" t="s">
        <v>38</v>
      </c>
      <c r="M364" s="16" t="s">
        <v>1870</v>
      </c>
      <c r="N364" s="16" t="s">
        <v>1871</v>
      </c>
    </row>
    <row r="365" spans="1:14" ht="20.100000000000001" customHeight="1" x14ac:dyDescent="0.25">
      <c r="A365" s="15" t="s">
        <v>1872</v>
      </c>
      <c r="B365" s="16" t="s">
        <v>96</v>
      </c>
      <c r="C365" s="15">
        <v>9100541</v>
      </c>
      <c r="D365" s="16" t="s">
        <v>215</v>
      </c>
      <c r="E365" s="15" t="s">
        <v>1873</v>
      </c>
      <c r="F365" s="21" t="str">
        <f>HYPERLINK("https://psearch.kitsapgov.com/webappa/index.html?parcelID=1441484&amp;Theme=Imagery","1441484")</f>
        <v>1441484</v>
      </c>
      <c r="G365" s="16" t="s">
        <v>1874</v>
      </c>
      <c r="H365" s="17">
        <v>42697</v>
      </c>
      <c r="I365" s="18">
        <v>210000</v>
      </c>
      <c r="J365" s="19">
        <v>0.17</v>
      </c>
      <c r="K365" s="16" t="s">
        <v>235</v>
      </c>
      <c r="L365" s="16" t="s">
        <v>38</v>
      </c>
      <c r="M365" s="16" t="s">
        <v>1875</v>
      </c>
      <c r="N365" s="16" t="s">
        <v>1876</v>
      </c>
    </row>
    <row r="366" spans="1:14" ht="20.100000000000001" customHeight="1" x14ac:dyDescent="0.25">
      <c r="A366" s="15" t="s">
        <v>1877</v>
      </c>
      <c r="B366" s="16" t="s">
        <v>66</v>
      </c>
      <c r="C366" s="15">
        <v>8100510</v>
      </c>
      <c r="D366" s="16" t="s">
        <v>401</v>
      </c>
      <c r="E366" s="15" t="s">
        <v>1878</v>
      </c>
      <c r="F366" s="21" t="str">
        <f>HYPERLINK("https://psearch.kitsapgov.com/webappa/index.html?parcelID=1450568&amp;Theme=Imagery","1450568")</f>
        <v>1450568</v>
      </c>
      <c r="G366" s="16" t="s">
        <v>1879</v>
      </c>
      <c r="H366" s="17">
        <v>42705</v>
      </c>
      <c r="I366" s="18">
        <v>550000</v>
      </c>
      <c r="J366" s="19">
        <v>0.61</v>
      </c>
      <c r="K366" s="16" t="s">
        <v>28</v>
      </c>
      <c r="L366" s="16" t="s">
        <v>79</v>
      </c>
      <c r="M366" s="16" t="s">
        <v>1880</v>
      </c>
      <c r="N366" s="16" t="s">
        <v>1881</v>
      </c>
    </row>
    <row r="367" spans="1:14" ht="20.100000000000001" customHeight="1" x14ac:dyDescent="0.25">
      <c r="A367" s="15" t="s">
        <v>1882</v>
      </c>
      <c r="B367" s="16" t="s">
        <v>286</v>
      </c>
      <c r="C367" s="15">
        <v>8400206</v>
      </c>
      <c r="D367" s="16" t="s">
        <v>287</v>
      </c>
      <c r="E367" s="15" t="s">
        <v>1883</v>
      </c>
      <c r="F367" s="21" t="str">
        <f>HYPERLINK("https://psearch.kitsapgov.com/webappa/index.html?parcelID=2070811&amp;Theme=Imagery","2070811")</f>
        <v>2070811</v>
      </c>
      <c r="G367" s="16" t="s">
        <v>1884</v>
      </c>
      <c r="H367" s="17">
        <v>42703</v>
      </c>
      <c r="I367" s="18">
        <v>28500</v>
      </c>
      <c r="J367" s="19">
        <v>0</v>
      </c>
      <c r="L367" s="16" t="s">
        <v>38</v>
      </c>
      <c r="M367" s="16" t="s">
        <v>1885</v>
      </c>
      <c r="N367" s="16" t="s">
        <v>1886</v>
      </c>
    </row>
    <row r="368" spans="1:14" ht="20.100000000000001" customHeight="1" x14ac:dyDescent="0.25">
      <c r="A368" s="15" t="s">
        <v>1887</v>
      </c>
      <c r="B368" s="16" t="s">
        <v>124</v>
      </c>
      <c r="C368" s="15">
        <v>9402390</v>
      </c>
      <c r="D368" s="16" t="s">
        <v>271</v>
      </c>
      <c r="E368" s="15" t="s">
        <v>1888</v>
      </c>
      <c r="F368" s="21" t="str">
        <f>HYPERLINK("https://psearch.kitsapgov.com/webappa/index.html?parcelID=1039015&amp;Theme=Imagery","1039015")</f>
        <v>1039015</v>
      </c>
      <c r="G368" s="16" t="s">
        <v>1889</v>
      </c>
      <c r="H368" s="17">
        <v>42705</v>
      </c>
      <c r="I368" s="18">
        <v>400000</v>
      </c>
      <c r="J368" s="19">
        <v>0.25</v>
      </c>
      <c r="K368" s="16" t="s">
        <v>274</v>
      </c>
      <c r="L368" s="16" t="s">
        <v>38</v>
      </c>
      <c r="M368" s="16" t="s">
        <v>1890</v>
      </c>
      <c r="N368" s="16" t="s">
        <v>1891</v>
      </c>
    </row>
    <row r="369" spans="1:14" ht="20.100000000000001" customHeight="1" x14ac:dyDescent="0.25">
      <c r="A369" s="15" t="s">
        <v>1892</v>
      </c>
      <c r="B369" s="16" t="s">
        <v>1893</v>
      </c>
      <c r="C369" s="15">
        <v>9401113</v>
      </c>
      <c r="D369" s="16" t="s">
        <v>1894</v>
      </c>
      <c r="E369" s="15" t="s">
        <v>1895</v>
      </c>
      <c r="F369" s="21" t="str">
        <f>HYPERLINK("https://psearch.kitsapgov.com/webappa/index.html?parcelID=1054592&amp;Theme=Imagery","1054592")</f>
        <v>1054592</v>
      </c>
      <c r="G369" s="16" t="s">
        <v>1896</v>
      </c>
      <c r="H369" s="17">
        <v>42706</v>
      </c>
      <c r="I369" s="18">
        <v>300000</v>
      </c>
      <c r="J369" s="19">
        <v>39.590000000000003</v>
      </c>
      <c r="K369" s="16" t="s">
        <v>1745</v>
      </c>
      <c r="L369" s="16" t="s">
        <v>246</v>
      </c>
      <c r="M369" s="16" t="s">
        <v>1897</v>
      </c>
      <c r="N369" s="16" t="s">
        <v>1898</v>
      </c>
    </row>
    <row r="370" spans="1:14" ht="20.100000000000001" customHeight="1" x14ac:dyDescent="0.25">
      <c r="A370" s="15" t="s">
        <v>1899</v>
      </c>
      <c r="B370" s="16" t="s">
        <v>124</v>
      </c>
      <c r="C370" s="15">
        <v>9100541</v>
      </c>
      <c r="D370" s="16" t="s">
        <v>215</v>
      </c>
      <c r="E370" s="15" t="s">
        <v>1900</v>
      </c>
      <c r="F370" s="21" t="str">
        <f>HYPERLINK("https://psearch.kitsapgov.com/webappa/index.html?parcelID=1423938&amp;Theme=Imagery","1423938")</f>
        <v>1423938</v>
      </c>
      <c r="G370" s="16" t="s">
        <v>1901</v>
      </c>
      <c r="H370" s="17">
        <v>42709</v>
      </c>
      <c r="I370" s="18">
        <v>333200</v>
      </c>
      <c r="J370" s="19">
        <v>0.2</v>
      </c>
      <c r="K370" s="16" t="s">
        <v>235</v>
      </c>
      <c r="L370" s="16" t="s">
        <v>38</v>
      </c>
      <c r="M370" s="16" t="s">
        <v>1902</v>
      </c>
      <c r="N370" s="16" t="s">
        <v>1903</v>
      </c>
    </row>
    <row r="371" spans="1:14" ht="20.100000000000001" customHeight="1" x14ac:dyDescent="0.25">
      <c r="A371" s="15" t="s">
        <v>1904</v>
      </c>
      <c r="B371" s="16" t="s">
        <v>57</v>
      </c>
      <c r="C371" s="15">
        <v>8303601</v>
      </c>
      <c r="D371" s="16" t="s">
        <v>50</v>
      </c>
      <c r="E371" s="15" t="s">
        <v>1905</v>
      </c>
      <c r="F371" s="21" t="str">
        <f>HYPERLINK("https://psearch.kitsapgov.com/webappa/index.html?parcelID=1308311&amp;Theme=Imagery","1308311")</f>
        <v>1308311</v>
      </c>
      <c r="G371" s="16" t="s">
        <v>1906</v>
      </c>
      <c r="H371" s="17">
        <v>42710</v>
      </c>
      <c r="I371" s="18">
        <v>950000</v>
      </c>
      <c r="J371" s="19">
        <v>0.82</v>
      </c>
      <c r="K371" s="16" t="s">
        <v>53</v>
      </c>
      <c r="L371" s="16" t="s">
        <v>38</v>
      </c>
      <c r="M371" s="16" t="s">
        <v>1907</v>
      </c>
      <c r="N371" s="16" t="s">
        <v>1908</v>
      </c>
    </row>
    <row r="372" spans="1:14" ht="20.100000000000001" customHeight="1" x14ac:dyDescent="0.25">
      <c r="A372" s="15" t="s">
        <v>1909</v>
      </c>
      <c r="B372" s="16" t="s">
        <v>368</v>
      </c>
      <c r="C372" s="15">
        <v>8401509</v>
      </c>
      <c r="D372" s="16" t="s">
        <v>1166</v>
      </c>
      <c r="E372" s="15" t="s">
        <v>1910</v>
      </c>
      <c r="F372" s="21" t="str">
        <f>HYPERLINK("https://psearch.kitsapgov.com/webappa/index.html?parcelID=2296234&amp;Theme=Imagery","2296234")</f>
        <v>2296234</v>
      </c>
      <c r="G372" s="16" t="s">
        <v>1911</v>
      </c>
      <c r="H372" s="17">
        <v>42710</v>
      </c>
      <c r="I372" s="18">
        <v>77000</v>
      </c>
      <c r="J372" s="19">
        <v>0.74</v>
      </c>
      <c r="K372" s="16" t="s">
        <v>309</v>
      </c>
      <c r="L372" s="16" t="s">
        <v>1169</v>
      </c>
      <c r="M372" s="16" t="s">
        <v>1912</v>
      </c>
      <c r="N372" s="16" t="s">
        <v>710</v>
      </c>
    </row>
    <row r="373" spans="1:14" ht="20.100000000000001" customHeight="1" x14ac:dyDescent="0.25">
      <c r="A373" s="15" t="s">
        <v>1913</v>
      </c>
      <c r="B373" s="16" t="s">
        <v>57</v>
      </c>
      <c r="C373" s="15">
        <v>8400302</v>
      </c>
      <c r="D373" s="16" t="s">
        <v>133</v>
      </c>
      <c r="E373" s="15" t="s">
        <v>1914</v>
      </c>
      <c r="F373" s="21" t="str">
        <f>HYPERLINK("https://psearch.kitsapgov.com/webappa/index.html?parcelID=2558732&amp;Theme=Imagery","2558732")</f>
        <v>2558732</v>
      </c>
      <c r="G373" s="16" t="s">
        <v>199</v>
      </c>
      <c r="H373" s="17">
        <v>42711</v>
      </c>
      <c r="I373" s="18">
        <v>179500</v>
      </c>
      <c r="J373" s="19">
        <v>0.55000000000000004</v>
      </c>
      <c r="K373" s="16" t="s">
        <v>136</v>
      </c>
      <c r="L373" s="16" t="s">
        <v>38</v>
      </c>
      <c r="M373" s="16" t="s">
        <v>200</v>
      </c>
      <c r="N373" s="16" t="s">
        <v>1915</v>
      </c>
    </row>
    <row r="374" spans="1:14" ht="20.100000000000001" customHeight="1" x14ac:dyDescent="0.25">
      <c r="A374" s="15" t="s">
        <v>1916</v>
      </c>
      <c r="B374" s="16" t="s">
        <v>393</v>
      </c>
      <c r="C374" s="15">
        <v>9402390</v>
      </c>
      <c r="D374" s="16" t="s">
        <v>271</v>
      </c>
      <c r="E374" s="15" t="s">
        <v>1917</v>
      </c>
      <c r="F374" s="21" t="str">
        <f>HYPERLINK("https://psearch.kitsapgov.com/webappa/index.html?parcelID=1038363&amp;Theme=Imagery","1038363")</f>
        <v>1038363</v>
      </c>
      <c r="G374" s="16" t="s">
        <v>1918</v>
      </c>
      <c r="H374" s="17">
        <v>42719</v>
      </c>
      <c r="I374" s="18">
        <v>17600000</v>
      </c>
      <c r="J374" s="19">
        <v>7.41</v>
      </c>
      <c r="K374" s="16" t="s">
        <v>1373</v>
      </c>
      <c r="L374" s="16" t="s">
        <v>38</v>
      </c>
      <c r="M374" s="16" t="s">
        <v>1919</v>
      </c>
      <c r="N374" s="16" t="s">
        <v>1920</v>
      </c>
    </row>
    <row r="375" spans="1:14" ht="20.100000000000001" customHeight="1" x14ac:dyDescent="0.25">
      <c r="A375" s="15" t="s">
        <v>1921</v>
      </c>
      <c r="B375" s="16" t="s">
        <v>49</v>
      </c>
      <c r="C375" s="15">
        <v>8402308</v>
      </c>
      <c r="D375" s="16" t="s">
        <v>75</v>
      </c>
      <c r="E375" s="15" t="s">
        <v>1922</v>
      </c>
      <c r="F375" s="21" t="str">
        <f>HYPERLINK("https://psearch.kitsapgov.com/webappa/index.html?parcelID=1720622&amp;Theme=Imagery","1720622")</f>
        <v>1720622</v>
      </c>
      <c r="G375" s="16" t="s">
        <v>1923</v>
      </c>
      <c r="H375" s="17">
        <v>42719</v>
      </c>
      <c r="I375" s="18">
        <v>55400</v>
      </c>
      <c r="J375" s="19">
        <v>0.16</v>
      </c>
      <c r="K375" s="16" t="s">
        <v>78</v>
      </c>
      <c r="L375" s="16" t="s">
        <v>255</v>
      </c>
      <c r="M375" s="16" t="s">
        <v>256</v>
      </c>
      <c r="N375" s="16" t="s">
        <v>1924</v>
      </c>
    </row>
    <row r="376" spans="1:14" ht="20.100000000000001" customHeight="1" x14ac:dyDescent="0.25">
      <c r="A376" s="15" t="s">
        <v>1925</v>
      </c>
      <c r="B376" s="16" t="s">
        <v>57</v>
      </c>
      <c r="C376" s="15">
        <v>8100506</v>
      </c>
      <c r="D376" s="16" t="s">
        <v>25</v>
      </c>
      <c r="E376" s="15" t="s">
        <v>1926</v>
      </c>
      <c r="F376" s="21" t="str">
        <f>HYPERLINK("https://psearch.kitsapgov.com/webappa/index.html?parcelID=2598746&amp;Theme=Imagery","2598746")</f>
        <v>2598746</v>
      </c>
      <c r="G376" s="16" t="s">
        <v>1927</v>
      </c>
      <c r="H376" s="17">
        <v>42717</v>
      </c>
      <c r="I376" s="18">
        <v>400000</v>
      </c>
      <c r="J376" s="19">
        <v>1.5</v>
      </c>
      <c r="K376" s="16" t="s">
        <v>28</v>
      </c>
      <c r="L376" s="16" t="s">
        <v>38</v>
      </c>
      <c r="M376" s="16" t="s">
        <v>1928</v>
      </c>
      <c r="N376" s="16" t="s">
        <v>1929</v>
      </c>
    </row>
    <row r="377" spans="1:14" ht="20.100000000000001" customHeight="1" x14ac:dyDescent="0.25">
      <c r="A377" s="15" t="s">
        <v>1930</v>
      </c>
      <c r="B377" s="16" t="s">
        <v>1031</v>
      </c>
      <c r="C377" s="15">
        <v>8402307</v>
      </c>
      <c r="D377" s="16" t="s">
        <v>151</v>
      </c>
      <c r="E377" s="15" t="s">
        <v>1931</v>
      </c>
      <c r="F377" s="21" t="str">
        <f>HYPERLINK("https://psearch.kitsapgov.com/webappa/index.html?parcelID=2024941&amp;Theme=Imagery","2024941")</f>
        <v>2024941</v>
      </c>
      <c r="G377" s="16" t="s">
        <v>1932</v>
      </c>
      <c r="H377" s="17">
        <v>42717</v>
      </c>
      <c r="I377" s="18">
        <v>2000000</v>
      </c>
      <c r="J377" s="19">
        <v>8.24</v>
      </c>
      <c r="K377" s="16" t="s">
        <v>154</v>
      </c>
      <c r="L377" s="16" t="s">
        <v>1933</v>
      </c>
      <c r="M377" s="16" t="s">
        <v>1934</v>
      </c>
      <c r="N377" s="16" t="s">
        <v>1935</v>
      </c>
    </row>
    <row r="378" spans="1:14" ht="20.100000000000001" customHeight="1" x14ac:dyDescent="0.25">
      <c r="A378" s="15" t="s">
        <v>1936</v>
      </c>
      <c r="B378" s="16" t="s">
        <v>24</v>
      </c>
      <c r="C378" s="15">
        <v>8303601</v>
      </c>
      <c r="D378" s="16" t="s">
        <v>50</v>
      </c>
      <c r="E378" s="15" t="s">
        <v>1937</v>
      </c>
      <c r="F378" s="21" t="str">
        <f>HYPERLINK("https://psearch.kitsapgov.com/webappa/index.html?parcelID=1536713&amp;Theme=Imagery","1536713")</f>
        <v>1536713</v>
      </c>
      <c r="G378" s="16" t="s">
        <v>1938</v>
      </c>
      <c r="H378" s="17">
        <v>42723</v>
      </c>
      <c r="I378" s="18">
        <v>897200</v>
      </c>
      <c r="J378" s="19">
        <v>0.41</v>
      </c>
      <c r="K378" s="16" t="s">
        <v>1939</v>
      </c>
      <c r="L378" s="16" t="s">
        <v>38</v>
      </c>
      <c r="M378" s="16" t="s">
        <v>1940</v>
      </c>
      <c r="N378" s="16" t="s">
        <v>1941</v>
      </c>
    </row>
    <row r="379" spans="1:14" ht="20.100000000000001" customHeight="1" x14ac:dyDescent="0.25">
      <c r="A379" s="15" t="s">
        <v>1942</v>
      </c>
      <c r="B379" s="16" t="s">
        <v>1353</v>
      </c>
      <c r="C379" s="15">
        <v>8402307</v>
      </c>
      <c r="D379" s="16" t="s">
        <v>151</v>
      </c>
      <c r="E379" s="15" t="s">
        <v>1943</v>
      </c>
      <c r="F379" s="21" t="str">
        <f>HYPERLINK("https://psearch.kitsapgov.com/webappa/index.html?parcelID=1211036&amp;Theme=Imagery","1211036")</f>
        <v>1211036</v>
      </c>
      <c r="G379" s="16" t="s">
        <v>1944</v>
      </c>
      <c r="H379" s="17">
        <v>42723</v>
      </c>
      <c r="I379" s="18">
        <v>155000</v>
      </c>
      <c r="J379" s="19">
        <v>0.83</v>
      </c>
      <c r="K379" s="16" t="s">
        <v>194</v>
      </c>
      <c r="L379" s="16" t="s">
        <v>38</v>
      </c>
      <c r="M379" s="16" t="s">
        <v>1945</v>
      </c>
      <c r="N379" s="16" t="s">
        <v>1946</v>
      </c>
    </row>
    <row r="380" spans="1:14" ht="20.100000000000001" customHeight="1" x14ac:dyDescent="0.25">
      <c r="A380" s="15" t="s">
        <v>1947</v>
      </c>
      <c r="B380" s="16" t="s">
        <v>124</v>
      </c>
      <c r="C380" s="15">
        <v>9400204</v>
      </c>
      <c r="D380" s="16" t="s">
        <v>1948</v>
      </c>
      <c r="E380" s="15" t="s">
        <v>1949</v>
      </c>
      <c r="F380" s="21" t="str">
        <f>HYPERLINK("https://psearch.kitsapgov.com/webappa/index.html?parcelID=1609858&amp;Theme=Imagery","1609858")</f>
        <v>1609858</v>
      </c>
      <c r="G380" s="16" t="s">
        <v>1889</v>
      </c>
      <c r="H380" s="17">
        <v>42726</v>
      </c>
      <c r="I380" s="18">
        <v>415000</v>
      </c>
      <c r="J380" s="19">
        <v>0.41</v>
      </c>
      <c r="K380" s="16" t="s">
        <v>1950</v>
      </c>
      <c r="L380" s="16" t="s">
        <v>38</v>
      </c>
      <c r="M380" s="16" t="s">
        <v>1951</v>
      </c>
      <c r="N380" s="16" t="s">
        <v>1952</v>
      </c>
    </row>
    <row r="381" spans="1:14" ht="20.100000000000001" customHeight="1" x14ac:dyDescent="0.25">
      <c r="A381" s="15" t="s">
        <v>1953</v>
      </c>
      <c r="B381" s="16" t="s">
        <v>57</v>
      </c>
      <c r="C381" s="15">
        <v>8401101</v>
      </c>
      <c r="D381" s="16" t="s">
        <v>185</v>
      </c>
      <c r="E381" s="15" t="s">
        <v>891</v>
      </c>
      <c r="F381" s="21" t="str">
        <f>HYPERLINK("https://psearch.kitsapgov.com/webappa/index.html?parcelID=1242528&amp;Theme=Imagery","1242528")</f>
        <v>1242528</v>
      </c>
      <c r="G381" s="16" t="s">
        <v>892</v>
      </c>
      <c r="H381" s="17">
        <v>42723</v>
      </c>
      <c r="I381" s="18">
        <v>855000</v>
      </c>
      <c r="J381" s="19">
        <v>1.3</v>
      </c>
      <c r="K381" s="16" t="s">
        <v>188</v>
      </c>
      <c r="L381" s="16" t="s">
        <v>20</v>
      </c>
      <c r="M381" s="16" t="s">
        <v>893</v>
      </c>
      <c r="N381" s="16" t="s">
        <v>1954</v>
      </c>
    </row>
    <row r="382" spans="1:14" ht="20.100000000000001" customHeight="1" x14ac:dyDescent="0.25">
      <c r="A382" s="15" t="s">
        <v>1955</v>
      </c>
      <c r="B382" s="16" t="s">
        <v>49</v>
      </c>
      <c r="C382" s="15">
        <v>8402307</v>
      </c>
      <c r="D382" s="16" t="s">
        <v>151</v>
      </c>
      <c r="E382" s="15" t="s">
        <v>1956</v>
      </c>
      <c r="F382" s="21" t="str">
        <f>HYPERLINK("https://psearch.kitsapgov.com/webappa/index.html?parcelID=1036086&amp;Theme=Imagery","1036086")</f>
        <v>1036086</v>
      </c>
      <c r="G382" s="16" t="s">
        <v>107</v>
      </c>
      <c r="H382" s="17">
        <v>42726</v>
      </c>
      <c r="I382" s="18">
        <v>237500</v>
      </c>
      <c r="J382" s="19">
        <v>0.46</v>
      </c>
      <c r="K382" s="16" t="s">
        <v>154</v>
      </c>
      <c r="L382" s="16" t="s">
        <v>38</v>
      </c>
      <c r="M382" s="16" t="s">
        <v>1957</v>
      </c>
      <c r="N382" s="16" t="s">
        <v>1958</v>
      </c>
    </row>
    <row r="383" spans="1:14" ht="20.100000000000001" customHeight="1" x14ac:dyDescent="0.25">
      <c r="A383" s="15" t="s">
        <v>1959</v>
      </c>
      <c r="B383" s="16" t="s">
        <v>393</v>
      </c>
      <c r="C383" s="15">
        <v>9401591</v>
      </c>
      <c r="D383" s="16" t="s">
        <v>1960</v>
      </c>
      <c r="E383" s="15" t="s">
        <v>1961</v>
      </c>
      <c r="F383" s="21" t="str">
        <f>HYPERLINK("https://psearch.kitsapgov.com/webappa/index.html?parcelID=1916220&amp;Theme=Imagery","1916220")</f>
        <v>1916220</v>
      </c>
      <c r="G383" s="16" t="s">
        <v>1962</v>
      </c>
      <c r="H383" s="17">
        <v>42728</v>
      </c>
      <c r="I383" s="18">
        <v>13250000</v>
      </c>
      <c r="J383" s="19">
        <v>9.4</v>
      </c>
      <c r="K383" s="16" t="s">
        <v>397</v>
      </c>
      <c r="L383" s="16" t="s">
        <v>38</v>
      </c>
      <c r="M383" s="16" t="s">
        <v>1963</v>
      </c>
      <c r="N383" s="16" t="s">
        <v>1964</v>
      </c>
    </row>
    <row r="384" spans="1:14" ht="20.100000000000001" customHeight="1" x14ac:dyDescent="0.25">
      <c r="A384" s="15" t="s">
        <v>1965</v>
      </c>
      <c r="B384" s="16" t="s">
        <v>57</v>
      </c>
      <c r="C384" s="15">
        <v>8400204</v>
      </c>
      <c r="D384" s="16" t="s">
        <v>178</v>
      </c>
      <c r="E384" s="15" t="s">
        <v>1966</v>
      </c>
      <c r="F384" s="21" t="str">
        <f>HYPERLINK("https://psearch.kitsapgov.com/webappa/index.html?parcelID=2561363&amp;Theme=Imagery","2561363")</f>
        <v>2561363</v>
      </c>
      <c r="G384" s="16" t="s">
        <v>1967</v>
      </c>
      <c r="H384" s="17">
        <v>42725</v>
      </c>
      <c r="I384" s="18">
        <v>55000</v>
      </c>
      <c r="J384" s="19">
        <v>1.1100000000000001</v>
      </c>
      <c r="K384" s="16" t="s">
        <v>147</v>
      </c>
      <c r="L384" s="16" t="s">
        <v>29</v>
      </c>
      <c r="M384" s="16" t="s">
        <v>1968</v>
      </c>
      <c r="N384" s="16" t="s">
        <v>1969</v>
      </c>
    </row>
    <row r="385" spans="1:14" ht="20.100000000000001" customHeight="1" x14ac:dyDescent="0.25">
      <c r="A385" s="15" t="s">
        <v>1970</v>
      </c>
      <c r="B385" s="16" t="s">
        <v>704</v>
      </c>
      <c r="C385" s="15">
        <v>8303601</v>
      </c>
      <c r="D385" s="16" t="s">
        <v>50</v>
      </c>
      <c r="E385" s="15" t="s">
        <v>1332</v>
      </c>
      <c r="F385" s="21" t="str">
        <f>HYPERLINK("https://psearch.kitsapgov.com/webappa/index.html?parcelID=2434181&amp;Theme=Imagery","2434181")</f>
        <v>2434181</v>
      </c>
      <c r="G385" s="16" t="s">
        <v>1333</v>
      </c>
      <c r="H385" s="17">
        <v>42732</v>
      </c>
      <c r="I385" s="18">
        <v>126251</v>
      </c>
      <c r="J385" s="19">
        <v>4.9800000000000004</v>
      </c>
      <c r="K385" s="16" t="s">
        <v>326</v>
      </c>
      <c r="L385" s="16" t="s">
        <v>246</v>
      </c>
      <c r="M385" s="16" t="s">
        <v>1334</v>
      </c>
      <c r="N385" s="16" t="s">
        <v>1971</v>
      </c>
    </row>
    <row r="386" spans="1:14" ht="20.100000000000001" customHeight="1" x14ac:dyDescent="0.25">
      <c r="A386" s="15" t="s">
        <v>1972</v>
      </c>
      <c r="B386" s="16" t="s">
        <v>66</v>
      </c>
      <c r="C386" s="15">
        <v>8400302</v>
      </c>
      <c r="D386" s="16" t="s">
        <v>133</v>
      </c>
      <c r="E386" s="15" t="s">
        <v>1973</v>
      </c>
      <c r="F386" s="21" t="str">
        <f>HYPERLINK("https://psearch.kitsapgov.com/webappa/index.html?parcelID=2056430&amp;Theme=Imagery","2056430")</f>
        <v>2056430</v>
      </c>
      <c r="G386" s="16" t="s">
        <v>1974</v>
      </c>
      <c r="H386" s="17">
        <v>42690</v>
      </c>
      <c r="I386" s="18">
        <v>545000</v>
      </c>
      <c r="J386" s="19">
        <v>1.1100000000000001</v>
      </c>
      <c r="K386" s="16" t="s">
        <v>136</v>
      </c>
      <c r="L386" s="16" t="s">
        <v>38</v>
      </c>
      <c r="M386" s="16" t="s">
        <v>1975</v>
      </c>
      <c r="N386" s="16" t="s">
        <v>1976</v>
      </c>
    </row>
    <row r="387" spans="1:14" ht="20.100000000000001" customHeight="1" x14ac:dyDescent="0.25">
      <c r="A387" s="15" t="s">
        <v>1977</v>
      </c>
      <c r="B387" s="16" t="s">
        <v>57</v>
      </c>
      <c r="C387" s="15">
        <v>8401104</v>
      </c>
      <c r="D387" s="16" t="s">
        <v>144</v>
      </c>
      <c r="E387" s="15" t="s">
        <v>1978</v>
      </c>
      <c r="F387" s="21" t="str">
        <f>HYPERLINK("https://psearch.kitsapgov.com/webappa/index.html?parcelID=2582666&amp;Theme=Imagery","2582666")</f>
        <v>2582666</v>
      </c>
      <c r="G387" s="16" t="s">
        <v>1979</v>
      </c>
      <c r="H387" s="17">
        <v>42734</v>
      </c>
      <c r="I387" s="18">
        <v>225000</v>
      </c>
      <c r="J387" s="19">
        <v>0.43</v>
      </c>
      <c r="K387" s="16" t="s">
        <v>61</v>
      </c>
      <c r="L387" s="16" t="s">
        <v>38</v>
      </c>
      <c r="M387" s="16" t="s">
        <v>1980</v>
      </c>
      <c r="N387" s="16" t="s">
        <v>1981</v>
      </c>
    </row>
    <row r="388" spans="1:14" ht="20.100000000000001" customHeight="1" x14ac:dyDescent="0.25">
      <c r="A388" s="15" t="s">
        <v>1982</v>
      </c>
      <c r="B388" s="16" t="s">
        <v>57</v>
      </c>
      <c r="C388" s="15">
        <v>8401104</v>
      </c>
      <c r="D388" s="16" t="s">
        <v>144</v>
      </c>
      <c r="E388" s="15" t="s">
        <v>1983</v>
      </c>
      <c r="F388" s="21" t="str">
        <f>HYPERLINK("https://psearch.kitsapgov.com/webappa/index.html?parcelID=2582658&amp;Theme=Imagery","2582658")</f>
        <v>2582658</v>
      </c>
      <c r="G388" s="16" t="s">
        <v>1984</v>
      </c>
      <c r="H388" s="17">
        <v>42734</v>
      </c>
      <c r="I388" s="18">
        <v>250000</v>
      </c>
      <c r="J388" s="19">
        <v>0.44</v>
      </c>
      <c r="K388" s="16" t="s">
        <v>61</v>
      </c>
      <c r="L388" s="16" t="s">
        <v>38</v>
      </c>
      <c r="M388" s="16" t="s">
        <v>1980</v>
      </c>
      <c r="N388" s="16" t="s">
        <v>1985</v>
      </c>
    </row>
    <row r="389" spans="1:14" ht="20.100000000000001" customHeight="1" x14ac:dyDescent="0.25">
      <c r="A389" s="15" t="s">
        <v>1986</v>
      </c>
      <c r="B389" s="16" t="s">
        <v>393</v>
      </c>
      <c r="C389" s="15">
        <v>9100542</v>
      </c>
      <c r="D389" s="16" t="s">
        <v>454</v>
      </c>
      <c r="E389" s="15" t="s">
        <v>1987</v>
      </c>
      <c r="F389" s="21" t="str">
        <f>HYPERLINK("https://psearch.kitsapgov.com/webappa/index.html?parcelID=1712314&amp;Theme=Imagery","1712314")</f>
        <v>1712314</v>
      </c>
      <c r="G389" s="16" t="s">
        <v>1988</v>
      </c>
      <c r="H389" s="17">
        <v>42745</v>
      </c>
      <c r="I389" s="18">
        <v>6037500</v>
      </c>
      <c r="J389" s="19">
        <v>3.76</v>
      </c>
      <c r="K389" s="16" t="s">
        <v>1070</v>
      </c>
      <c r="L389" s="16" t="s">
        <v>38</v>
      </c>
      <c r="M389" s="16" t="s">
        <v>1989</v>
      </c>
      <c r="N389" s="16" t="s">
        <v>1990</v>
      </c>
    </row>
    <row r="390" spans="1:14" ht="20.100000000000001" customHeight="1" x14ac:dyDescent="0.25">
      <c r="A390" s="15" t="s">
        <v>1991</v>
      </c>
      <c r="B390" s="16" t="s">
        <v>407</v>
      </c>
      <c r="C390" s="15">
        <v>8303601</v>
      </c>
      <c r="D390" s="16" t="s">
        <v>50</v>
      </c>
      <c r="E390" s="15" t="s">
        <v>1992</v>
      </c>
      <c r="F390" s="21" t="str">
        <f>HYPERLINK("https://psearch.kitsapgov.com/webappa/index.html?parcelID=2419760&amp;Theme=Imagery","2419760")</f>
        <v>2419760</v>
      </c>
      <c r="G390" s="16" t="s">
        <v>1993</v>
      </c>
      <c r="H390" s="17">
        <v>42738</v>
      </c>
      <c r="I390" s="18">
        <v>540000</v>
      </c>
      <c r="J390" s="19">
        <v>0</v>
      </c>
      <c r="L390" s="16" t="s">
        <v>20</v>
      </c>
      <c r="M390" s="16" t="s">
        <v>1994</v>
      </c>
      <c r="N390" s="16" t="s">
        <v>1995</v>
      </c>
    </row>
    <row r="391" spans="1:14" ht="20.100000000000001" customHeight="1" x14ac:dyDescent="0.25">
      <c r="A391" s="15" t="s">
        <v>1996</v>
      </c>
      <c r="B391" s="16" t="s">
        <v>407</v>
      </c>
      <c r="C391" s="15">
        <v>8303601</v>
      </c>
      <c r="D391" s="16" t="s">
        <v>50</v>
      </c>
      <c r="E391" s="15" t="s">
        <v>1997</v>
      </c>
      <c r="F391" s="21" t="str">
        <f>HYPERLINK("https://psearch.kitsapgov.com/webappa/index.html?parcelID=2419778&amp;Theme=Imagery","2419778")</f>
        <v>2419778</v>
      </c>
      <c r="G391" s="16" t="s">
        <v>1998</v>
      </c>
      <c r="H391" s="17">
        <v>42738</v>
      </c>
      <c r="I391" s="18">
        <v>200000</v>
      </c>
      <c r="J391" s="19">
        <v>0</v>
      </c>
      <c r="L391" s="16" t="s">
        <v>38</v>
      </c>
      <c r="M391" s="16" t="s">
        <v>1994</v>
      </c>
      <c r="N391" s="16" t="s">
        <v>1995</v>
      </c>
    </row>
    <row r="392" spans="1:14" ht="20.100000000000001" customHeight="1" x14ac:dyDescent="0.25">
      <c r="A392" s="15" t="s">
        <v>1999</v>
      </c>
      <c r="B392" s="16" t="s">
        <v>407</v>
      </c>
      <c r="C392" s="15">
        <v>8303601</v>
      </c>
      <c r="D392" s="16" t="s">
        <v>50</v>
      </c>
      <c r="E392" s="15" t="s">
        <v>2000</v>
      </c>
      <c r="F392" s="21" t="str">
        <f>HYPERLINK("https://psearch.kitsapgov.com/webappa/index.html?parcelID=2419786&amp;Theme=Imagery","2419786")</f>
        <v>2419786</v>
      </c>
      <c r="G392" s="16" t="s">
        <v>2001</v>
      </c>
      <c r="H392" s="17">
        <v>42738</v>
      </c>
      <c r="I392" s="18">
        <v>562000</v>
      </c>
      <c r="J392" s="19">
        <v>0</v>
      </c>
      <c r="L392" s="16" t="s">
        <v>20</v>
      </c>
      <c r="M392" s="16" t="s">
        <v>1994</v>
      </c>
      <c r="N392" s="16" t="s">
        <v>1995</v>
      </c>
    </row>
    <row r="393" spans="1:14" ht="20.100000000000001" customHeight="1" x14ac:dyDescent="0.25">
      <c r="A393" s="15" t="s">
        <v>2002</v>
      </c>
      <c r="B393" s="16" t="s">
        <v>688</v>
      </c>
      <c r="C393" s="15">
        <v>8401104</v>
      </c>
      <c r="D393" s="16" t="s">
        <v>144</v>
      </c>
      <c r="E393" s="15" t="s">
        <v>2003</v>
      </c>
      <c r="F393" s="21" t="str">
        <f>HYPERLINK("https://psearch.kitsapgov.com/webappa/index.html?parcelID=2254548&amp;Theme=Imagery","2254548")</f>
        <v>2254548</v>
      </c>
      <c r="G393" s="16" t="s">
        <v>2004</v>
      </c>
      <c r="H393" s="17">
        <v>42746</v>
      </c>
      <c r="I393" s="18">
        <v>3225000</v>
      </c>
      <c r="J393" s="19">
        <v>1.69</v>
      </c>
      <c r="K393" s="16" t="s">
        <v>309</v>
      </c>
      <c r="L393" s="16" t="s">
        <v>38</v>
      </c>
      <c r="M393" s="16" t="s">
        <v>2005</v>
      </c>
      <c r="N393" s="16" t="s">
        <v>2006</v>
      </c>
    </row>
    <row r="394" spans="1:14" ht="20.100000000000001" customHeight="1" x14ac:dyDescent="0.25">
      <c r="A394" s="15" t="s">
        <v>2007</v>
      </c>
      <c r="B394" s="16" t="s">
        <v>89</v>
      </c>
      <c r="C394" s="15">
        <v>8402307</v>
      </c>
      <c r="D394" s="16" t="s">
        <v>151</v>
      </c>
      <c r="E394" s="15" t="s">
        <v>2008</v>
      </c>
      <c r="F394" s="21" t="str">
        <f>HYPERLINK("https://psearch.kitsapgov.com/webappa/index.html?parcelID=2430932&amp;Theme=Imagery","2430932")</f>
        <v>2430932</v>
      </c>
      <c r="G394" s="16" t="s">
        <v>2009</v>
      </c>
      <c r="H394" s="17">
        <v>42747</v>
      </c>
      <c r="I394" s="18">
        <v>1110000</v>
      </c>
      <c r="J394" s="19">
        <v>0.22</v>
      </c>
      <c r="K394" s="16" t="s">
        <v>154</v>
      </c>
      <c r="L394" s="16" t="s">
        <v>38</v>
      </c>
      <c r="M394" s="16" t="s">
        <v>2010</v>
      </c>
      <c r="N394" s="16" t="s">
        <v>2011</v>
      </c>
    </row>
    <row r="395" spans="1:14" ht="20.100000000000001" customHeight="1" x14ac:dyDescent="0.25">
      <c r="A395" s="15" t="s">
        <v>2012</v>
      </c>
      <c r="B395" s="16" t="s">
        <v>96</v>
      </c>
      <c r="C395" s="15">
        <v>8100502</v>
      </c>
      <c r="D395" s="16" t="s">
        <v>67</v>
      </c>
      <c r="E395" s="15" t="s">
        <v>2013</v>
      </c>
      <c r="F395" s="21" t="str">
        <f>HYPERLINK("https://psearch.kitsapgov.com/webappa/index.html?parcelID=2133270&amp;Theme=Imagery","2133270")</f>
        <v>2133270</v>
      </c>
      <c r="G395" s="16" t="s">
        <v>2014</v>
      </c>
      <c r="H395" s="17">
        <v>42745</v>
      </c>
      <c r="I395" s="18">
        <v>222500</v>
      </c>
      <c r="J395" s="19">
        <v>0.38</v>
      </c>
      <c r="K395" s="16" t="s">
        <v>173</v>
      </c>
      <c r="L395" s="16" t="s">
        <v>20</v>
      </c>
      <c r="M395" s="16" t="s">
        <v>2015</v>
      </c>
      <c r="N395" s="16" t="s">
        <v>2016</v>
      </c>
    </row>
    <row r="396" spans="1:14" ht="20.100000000000001" customHeight="1" x14ac:dyDescent="0.25">
      <c r="A396" s="15" t="s">
        <v>2017</v>
      </c>
      <c r="B396" s="16" t="s">
        <v>688</v>
      </c>
      <c r="C396" s="15">
        <v>8402307</v>
      </c>
      <c r="D396" s="16" t="s">
        <v>151</v>
      </c>
      <c r="E396" s="15" t="s">
        <v>2018</v>
      </c>
      <c r="F396" s="21" t="str">
        <f>HYPERLINK("https://psearch.kitsapgov.com/webappa/index.html?parcelID=2285955&amp;Theme=Imagery","2285955")</f>
        <v>2285955</v>
      </c>
      <c r="G396" s="16" t="s">
        <v>2019</v>
      </c>
      <c r="H396" s="17">
        <v>42748</v>
      </c>
      <c r="I396" s="18">
        <v>675000</v>
      </c>
      <c r="J396" s="19">
        <v>0.41</v>
      </c>
      <c r="K396" s="16" t="s">
        <v>78</v>
      </c>
      <c r="L396" s="16" t="s">
        <v>38</v>
      </c>
      <c r="M396" s="16" t="s">
        <v>130</v>
      </c>
      <c r="N396" s="16" t="s">
        <v>2020</v>
      </c>
    </row>
    <row r="397" spans="1:14" ht="20.100000000000001" customHeight="1" x14ac:dyDescent="0.25">
      <c r="A397" s="15" t="s">
        <v>2021</v>
      </c>
      <c r="B397" s="16" t="s">
        <v>96</v>
      </c>
      <c r="C397" s="15">
        <v>8402308</v>
      </c>
      <c r="D397" s="16" t="s">
        <v>75</v>
      </c>
      <c r="E397" s="15" t="s">
        <v>2022</v>
      </c>
      <c r="F397" s="21" t="str">
        <f>HYPERLINK("https://psearch.kitsapgov.com/webappa/index.html?parcelID=2446524&amp;Theme=Imagery","2446524")</f>
        <v>2446524</v>
      </c>
      <c r="G397" s="16" t="s">
        <v>2023</v>
      </c>
      <c r="H397" s="17">
        <v>42754</v>
      </c>
      <c r="I397" s="18">
        <v>375000</v>
      </c>
      <c r="J397" s="19">
        <v>1.28</v>
      </c>
      <c r="K397" s="16" t="s">
        <v>672</v>
      </c>
      <c r="L397" s="16" t="s">
        <v>79</v>
      </c>
      <c r="M397" s="16" t="s">
        <v>2024</v>
      </c>
      <c r="N397" s="16" t="s">
        <v>2025</v>
      </c>
    </row>
    <row r="398" spans="1:14" ht="20.100000000000001" customHeight="1" x14ac:dyDescent="0.25">
      <c r="A398" s="15" t="s">
        <v>2026</v>
      </c>
      <c r="B398" s="16" t="s">
        <v>286</v>
      </c>
      <c r="C398" s="15">
        <v>8303660</v>
      </c>
      <c r="D398" s="16" t="s">
        <v>313</v>
      </c>
      <c r="E398" s="15" t="s">
        <v>2027</v>
      </c>
      <c r="F398" s="21" t="str">
        <f>HYPERLINK("https://psearch.kitsapgov.com/webappa/index.html?parcelID=1881747&amp;Theme=Imagery","1881747")</f>
        <v>1881747</v>
      </c>
      <c r="G398" s="16" t="s">
        <v>2028</v>
      </c>
      <c r="H398" s="17">
        <v>42754</v>
      </c>
      <c r="I398" s="18">
        <v>72000</v>
      </c>
      <c r="J398" s="19">
        <v>0</v>
      </c>
      <c r="L398" s="16" t="s">
        <v>38</v>
      </c>
      <c r="M398" s="16" t="s">
        <v>2029</v>
      </c>
      <c r="N398" s="16" t="s">
        <v>2030</v>
      </c>
    </row>
    <row r="399" spans="1:14" ht="20.100000000000001" customHeight="1" x14ac:dyDescent="0.25">
      <c r="A399" s="15" t="s">
        <v>2031</v>
      </c>
      <c r="B399" s="16" t="s">
        <v>33</v>
      </c>
      <c r="C399" s="15">
        <v>8100501</v>
      </c>
      <c r="D399" s="16" t="s">
        <v>117</v>
      </c>
      <c r="E399" s="15" t="s">
        <v>2032</v>
      </c>
      <c r="F399" s="21" t="str">
        <f>HYPERLINK("https://psearch.kitsapgov.com/webappa/index.html?parcelID=1426659&amp;Theme=Imagery","1426659")</f>
        <v>1426659</v>
      </c>
      <c r="G399" s="16" t="s">
        <v>2033</v>
      </c>
      <c r="H399" s="17">
        <v>42755</v>
      </c>
      <c r="I399" s="18">
        <v>400000</v>
      </c>
      <c r="J399" s="19">
        <v>7.0000000000000007E-2</v>
      </c>
      <c r="K399" s="16" t="s">
        <v>120</v>
      </c>
      <c r="L399" s="16" t="s">
        <v>20</v>
      </c>
      <c r="M399" s="16" t="s">
        <v>2034</v>
      </c>
      <c r="N399" s="16" t="s">
        <v>2035</v>
      </c>
    </row>
    <row r="400" spans="1:14" ht="20.100000000000001" customHeight="1" x14ac:dyDescent="0.25">
      <c r="A400" s="15" t="s">
        <v>2036</v>
      </c>
      <c r="B400" s="16" t="s">
        <v>16</v>
      </c>
      <c r="C400" s="15">
        <v>8100506</v>
      </c>
      <c r="D400" s="16" t="s">
        <v>25</v>
      </c>
      <c r="E400" s="15" t="s">
        <v>2037</v>
      </c>
      <c r="F400" s="21" t="str">
        <f>HYPERLINK("https://psearch.kitsapgov.com/webappa/index.html?parcelID=1866458&amp;Theme=Imagery","1866458")</f>
        <v>1866458</v>
      </c>
      <c r="G400" s="16" t="s">
        <v>2038</v>
      </c>
      <c r="H400" s="17">
        <v>42752</v>
      </c>
      <c r="I400" s="18">
        <v>55000</v>
      </c>
      <c r="J400" s="19">
        <v>0</v>
      </c>
      <c r="L400" s="16" t="s">
        <v>981</v>
      </c>
      <c r="M400" s="16" t="s">
        <v>2039</v>
      </c>
      <c r="N400" s="16" t="s">
        <v>2040</v>
      </c>
    </row>
    <row r="401" spans="1:14" ht="20.100000000000001" customHeight="1" x14ac:dyDescent="0.25">
      <c r="A401" s="15" t="s">
        <v>2041</v>
      </c>
      <c r="B401" s="16" t="s">
        <v>57</v>
      </c>
      <c r="C401" s="15">
        <v>8400301</v>
      </c>
      <c r="D401" s="16" t="s">
        <v>1139</v>
      </c>
      <c r="E401" s="15" t="s">
        <v>2042</v>
      </c>
      <c r="F401" s="21" t="str">
        <f>HYPERLINK("https://psearch.kitsapgov.com/webappa/index.html?parcelID=2414365&amp;Theme=Imagery","2414365")</f>
        <v>2414365</v>
      </c>
      <c r="G401" s="16" t="s">
        <v>1602</v>
      </c>
      <c r="H401" s="17">
        <v>42759</v>
      </c>
      <c r="I401" s="18">
        <v>175000</v>
      </c>
      <c r="J401" s="19">
        <v>1.79</v>
      </c>
      <c r="K401" s="16" t="s">
        <v>78</v>
      </c>
      <c r="L401" s="16" t="s">
        <v>1344</v>
      </c>
      <c r="M401" s="16" t="s">
        <v>1345</v>
      </c>
      <c r="N401" s="16" t="s">
        <v>1346</v>
      </c>
    </row>
    <row r="402" spans="1:14" ht="20.100000000000001" customHeight="1" x14ac:dyDescent="0.25">
      <c r="A402" s="15" t="s">
        <v>2043</v>
      </c>
      <c r="B402" s="16" t="s">
        <v>704</v>
      </c>
      <c r="C402" s="15">
        <v>9401120</v>
      </c>
      <c r="D402" s="16" t="s">
        <v>125</v>
      </c>
      <c r="E402" s="15" t="s">
        <v>2044</v>
      </c>
      <c r="F402" s="21" t="str">
        <f>HYPERLINK("https://psearch.kitsapgov.com/webappa/index.html?parcelID=1123371&amp;Theme=Imagery","1123371")</f>
        <v>1123371</v>
      </c>
      <c r="G402" s="16" t="s">
        <v>2045</v>
      </c>
      <c r="H402" s="17">
        <v>42760</v>
      </c>
      <c r="I402" s="18">
        <v>1400000</v>
      </c>
      <c r="J402" s="19">
        <v>4.2300000000000004</v>
      </c>
      <c r="K402" s="16" t="s">
        <v>128</v>
      </c>
      <c r="L402" s="16" t="s">
        <v>38</v>
      </c>
      <c r="M402" s="16" t="s">
        <v>2046</v>
      </c>
      <c r="N402" s="16" t="s">
        <v>2047</v>
      </c>
    </row>
    <row r="403" spans="1:14" ht="20.100000000000001" customHeight="1" x14ac:dyDescent="0.25">
      <c r="A403" s="15" t="s">
        <v>2048</v>
      </c>
      <c r="B403" s="16" t="s">
        <v>104</v>
      </c>
      <c r="C403" s="15">
        <v>9402395</v>
      </c>
      <c r="D403" s="16" t="s">
        <v>580</v>
      </c>
      <c r="E403" s="15" t="s">
        <v>2049</v>
      </c>
      <c r="F403" s="21" t="str">
        <f>HYPERLINK("https://psearch.kitsapgov.com/webappa/index.html?parcelID=1501931&amp;Theme=Imagery","1501931")</f>
        <v>1501931</v>
      </c>
      <c r="G403" s="16" t="s">
        <v>2050</v>
      </c>
      <c r="H403" s="17">
        <v>42760</v>
      </c>
      <c r="I403" s="18">
        <v>619386</v>
      </c>
      <c r="J403" s="19">
        <v>0.22</v>
      </c>
      <c r="K403" s="16" t="s">
        <v>1373</v>
      </c>
      <c r="L403" s="16" t="s">
        <v>129</v>
      </c>
      <c r="M403" s="16" t="s">
        <v>1501</v>
      </c>
      <c r="N403" s="16" t="s">
        <v>1588</v>
      </c>
    </row>
    <row r="404" spans="1:14" ht="20.100000000000001" customHeight="1" x14ac:dyDescent="0.25">
      <c r="A404" s="15" t="s">
        <v>2051</v>
      </c>
      <c r="B404" s="16" t="s">
        <v>688</v>
      </c>
      <c r="C404" s="15">
        <v>8401101</v>
      </c>
      <c r="D404" s="16" t="s">
        <v>185</v>
      </c>
      <c r="E404" s="15" t="s">
        <v>2052</v>
      </c>
      <c r="F404" s="21" t="str">
        <f>HYPERLINK("https://psearch.kitsapgov.com/webappa/index.html?parcelID=2324531&amp;Theme=Imagery","2324531")</f>
        <v>2324531</v>
      </c>
      <c r="G404" s="16" t="s">
        <v>2053</v>
      </c>
      <c r="H404" s="17">
        <v>42766</v>
      </c>
      <c r="I404" s="18">
        <v>4815000</v>
      </c>
      <c r="J404" s="19">
        <v>0.99</v>
      </c>
      <c r="K404" s="16" t="s">
        <v>188</v>
      </c>
      <c r="L404" s="16" t="s">
        <v>20</v>
      </c>
      <c r="M404" s="16" t="s">
        <v>2054</v>
      </c>
      <c r="N404" s="16" t="s">
        <v>2055</v>
      </c>
    </row>
    <row r="405" spans="1:14" ht="20.100000000000001" customHeight="1" x14ac:dyDescent="0.25">
      <c r="A405" s="15" t="s">
        <v>2056</v>
      </c>
      <c r="B405" s="16" t="s">
        <v>526</v>
      </c>
      <c r="C405" s="15">
        <v>9402390</v>
      </c>
      <c r="D405" s="16" t="s">
        <v>271</v>
      </c>
      <c r="E405" s="15" t="s">
        <v>2057</v>
      </c>
      <c r="F405" s="21" t="str">
        <f>HYPERLINK("https://psearch.kitsapgov.com/webappa/index.html?parcelID=1040310&amp;Theme=Imagery","1040310")</f>
        <v>1040310</v>
      </c>
      <c r="G405" s="16" t="s">
        <v>2058</v>
      </c>
      <c r="H405" s="17">
        <v>42768</v>
      </c>
      <c r="I405" s="18">
        <v>135000</v>
      </c>
      <c r="J405" s="19">
        <v>0.45</v>
      </c>
      <c r="K405" s="16" t="s">
        <v>154</v>
      </c>
      <c r="L405" s="16" t="s">
        <v>20</v>
      </c>
      <c r="M405" s="16" t="s">
        <v>2059</v>
      </c>
      <c r="N405" s="16" t="s">
        <v>2060</v>
      </c>
    </row>
    <row r="406" spans="1:14" ht="20.100000000000001" customHeight="1" x14ac:dyDescent="0.25">
      <c r="A406" s="15" t="s">
        <v>2061</v>
      </c>
      <c r="B406" s="16" t="s">
        <v>33</v>
      </c>
      <c r="C406" s="15">
        <v>8402306</v>
      </c>
      <c r="D406" s="16" t="s">
        <v>34</v>
      </c>
      <c r="E406" s="15" t="s">
        <v>2062</v>
      </c>
      <c r="F406" s="21" t="str">
        <f>HYPERLINK("https://psearch.kitsapgov.com/webappa/index.html?parcelID=1508951&amp;Theme=Imagery","1508951")</f>
        <v>1508951</v>
      </c>
      <c r="G406" s="16" t="s">
        <v>2063</v>
      </c>
      <c r="H406" s="17">
        <v>42759</v>
      </c>
      <c r="I406" s="18">
        <v>700000</v>
      </c>
      <c r="J406" s="19">
        <v>0.12</v>
      </c>
      <c r="K406" s="16" t="s">
        <v>37</v>
      </c>
      <c r="L406" s="16" t="s">
        <v>38</v>
      </c>
      <c r="M406" s="16" t="s">
        <v>2064</v>
      </c>
      <c r="N406" s="16" t="s">
        <v>2065</v>
      </c>
    </row>
    <row r="407" spans="1:14" ht="20.100000000000001" customHeight="1" x14ac:dyDescent="0.25">
      <c r="A407" s="15" t="s">
        <v>2066</v>
      </c>
      <c r="B407" s="16" t="s">
        <v>66</v>
      </c>
      <c r="C407" s="15">
        <v>8100504</v>
      </c>
      <c r="D407" s="16" t="s">
        <v>58</v>
      </c>
      <c r="E407" s="15" t="s">
        <v>2067</v>
      </c>
      <c r="F407" s="21" t="str">
        <f>HYPERLINK("https://psearch.kitsapgov.com/webappa/index.html?parcelID=1674068&amp;Theme=Imagery","1674068")</f>
        <v>1674068</v>
      </c>
      <c r="G407" s="16" t="s">
        <v>2068</v>
      </c>
      <c r="H407" s="17">
        <v>42758</v>
      </c>
      <c r="I407" s="18">
        <v>105000</v>
      </c>
      <c r="J407" s="19">
        <v>0.14000000000000001</v>
      </c>
      <c r="K407" s="16" t="s">
        <v>78</v>
      </c>
      <c r="L407" s="16" t="s">
        <v>20</v>
      </c>
      <c r="M407" s="16" t="s">
        <v>2069</v>
      </c>
      <c r="N407" s="16" t="s">
        <v>2070</v>
      </c>
    </row>
    <row r="408" spans="1:14" ht="20.100000000000001" customHeight="1" x14ac:dyDescent="0.25">
      <c r="A408" s="15" t="s">
        <v>2071</v>
      </c>
      <c r="B408" s="16" t="s">
        <v>347</v>
      </c>
      <c r="C408" s="15">
        <v>8401101</v>
      </c>
      <c r="D408" s="16" t="s">
        <v>185</v>
      </c>
      <c r="E408" s="15" t="s">
        <v>2072</v>
      </c>
      <c r="F408" s="21" t="str">
        <f>HYPERLINK("https://psearch.kitsapgov.com/webappa/index.html?parcelID=2141091&amp;Theme=Imagery","2141091")</f>
        <v>2141091</v>
      </c>
      <c r="G408" s="16" t="s">
        <v>2073</v>
      </c>
      <c r="H408" s="17">
        <v>42769</v>
      </c>
      <c r="I408" s="18">
        <v>2000000</v>
      </c>
      <c r="J408" s="19">
        <v>1.33</v>
      </c>
      <c r="K408" s="16" t="s">
        <v>188</v>
      </c>
      <c r="L408" s="16" t="s">
        <v>20</v>
      </c>
      <c r="M408" s="16" t="s">
        <v>2074</v>
      </c>
      <c r="N408" s="16" t="s">
        <v>351</v>
      </c>
    </row>
    <row r="409" spans="1:14" ht="20.100000000000001" customHeight="1" x14ac:dyDescent="0.25">
      <c r="A409" s="15" t="s">
        <v>2075</v>
      </c>
      <c r="B409" s="16" t="s">
        <v>96</v>
      </c>
      <c r="C409" s="15">
        <v>8401101</v>
      </c>
      <c r="D409" s="16" t="s">
        <v>185</v>
      </c>
      <c r="E409" s="15" t="s">
        <v>2076</v>
      </c>
      <c r="F409" s="21" t="str">
        <f>HYPERLINK("https://psearch.kitsapgov.com/webappa/index.html?parcelID=2182889&amp;Theme=Imagery","2182889")</f>
        <v>2182889</v>
      </c>
      <c r="G409" s="16" t="s">
        <v>2077</v>
      </c>
      <c r="H409" s="17">
        <v>42767</v>
      </c>
      <c r="I409" s="18">
        <v>850000</v>
      </c>
      <c r="J409" s="19">
        <v>0.38</v>
      </c>
      <c r="K409" s="16" t="s">
        <v>188</v>
      </c>
      <c r="L409" s="16" t="s">
        <v>38</v>
      </c>
      <c r="M409" s="16" t="s">
        <v>2078</v>
      </c>
      <c r="N409" s="16" t="s">
        <v>2079</v>
      </c>
    </row>
    <row r="410" spans="1:14" ht="20.100000000000001" customHeight="1" x14ac:dyDescent="0.25">
      <c r="A410" s="15" t="s">
        <v>2080</v>
      </c>
      <c r="B410" s="16" t="s">
        <v>57</v>
      </c>
      <c r="C410" s="15">
        <v>8401101</v>
      </c>
      <c r="D410" s="16" t="s">
        <v>185</v>
      </c>
      <c r="E410" s="15" t="s">
        <v>2081</v>
      </c>
      <c r="F410" s="21" t="str">
        <f>HYPERLINK("https://psearch.kitsapgov.com/webappa/index.html?parcelID=2608032&amp;Theme=Imagery","2608032")</f>
        <v>2608032</v>
      </c>
      <c r="G410" s="16" t="s">
        <v>2082</v>
      </c>
      <c r="H410" s="17">
        <v>42774</v>
      </c>
      <c r="I410" s="18">
        <v>10000</v>
      </c>
      <c r="J410" s="19">
        <v>0.12</v>
      </c>
      <c r="K410" s="16" t="s">
        <v>708</v>
      </c>
      <c r="L410" s="16" t="s">
        <v>20</v>
      </c>
      <c r="M410" s="16" t="s">
        <v>2083</v>
      </c>
      <c r="N410" s="16" t="s">
        <v>2084</v>
      </c>
    </row>
    <row r="411" spans="1:14" ht="20.100000000000001" customHeight="1" x14ac:dyDescent="0.25">
      <c r="A411" s="15" t="s">
        <v>2085</v>
      </c>
      <c r="B411" s="16" t="s">
        <v>57</v>
      </c>
      <c r="C411" s="15">
        <v>8100505</v>
      </c>
      <c r="D411" s="16" t="s">
        <v>17</v>
      </c>
      <c r="E411" s="15" t="s">
        <v>2086</v>
      </c>
      <c r="F411" s="21" t="str">
        <f>HYPERLINK("https://psearch.kitsapgov.com/webappa/index.html?parcelID=1496801&amp;Theme=Imagery","1496801")</f>
        <v>1496801</v>
      </c>
      <c r="G411" s="16" t="s">
        <v>2087</v>
      </c>
      <c r="H411" s="17">
        <v>42767</v>
      </c>
      <c r="I411" s="18">
        <v>500</v>
      </c>
      <c r="J411" s="19">
        <v>7.0000000000000007E-2</v>
      </c>
      <c r="K411" s="16" t="s">
        <v>457</v>
      </c>
      <c r="L411" s="16" t="s">
        <v>62</v>
      </c>
      <c r="M411" s="16" t="s">
        <v>2088</v>
      </c>
      <c r="N411" s="16" t="s">
        <v>1643</v>
      </c>
    </row>
    <row r="412" spans="1:14" ht="20.100000000000001" customHeight="1" x14ac:dyDescent="0.25">
      <c r="A412" s="15" t="s">
        <v>2089</v>
      </c>
      <c r="B412" s="16" t="s">
        <v>33</v>
      </c>
      <c r="C412" s="15">
        <v>8100502</v>
      </c>
      <c r="D412" s="16" t="s">
        <v>67</v>
      </c>
      <c r="E412" s="15" t="s">
        <v>2090</v>
      </c>
      <c r="F412" s="21" t="str">
        <f>HYPERLINK("https://psearch.kitsapgov.com/webappa/index.html?parcelID=2239416&amp;Theme=Imagery","2239416")</f>
        <v>2239416</v>
      </c>
      <c r="G412" s="16" t="s">
        <v>2091</v>
      </c>
      <c r="H412" s="17">
        <v>42761</v>
      </c>
      <c r="I412" s="18">
        <v>175000</v>
      </c>
      <c r="J412" s="19">
        <v>0.69</v>
      </c>
      <c r="K412" s="16" t="s">
        <v>85</v>
      </c>
      <c r="L412" s="16" t="s">
        <v>20</v>
      </c>
      <c r="M412" s="16" t="s">
        <v>2092</v>
      </c>
      <c r="N412" s="16" t="s">
        <v>2093</v>
      </c>
    </row>
    <row r="413" spans="1:14" ht="20.100000000000001" customHeight="1" x14ac:dyDescent="0.25">
      <c r="A413" s="15" t="s">
        <v>2094</v>
      </c>
      <c r="B413" s="16" t="s">
        <v>143</v>
      </c>
      <c r="C413" s="15">
        <v>8400302</v>
      </c>
      <c r="D413" s="16" t="s">
        <v>133</v>
      </c>
      <c r="E413" s="15" t="s">
        <v>2095</v>
      </c>
      <c r="F413" s="21" t="str">
        <f>HYPERLINK("https://psearch.kitsapgov.com/webappa/index.html?parcelID=2529337&amp;Theme=Imagery","2529337")</f>
        <v>2529337</v>
      </c>
      <c r="G413" s="16" t="s">
        <v>2096</v>
      </c>
      <c r="H413" s="17">
        <v>42773</v>
      </c>
      <c r="I413" s="18">
        <v>90144</v>
      </c>
      <c r="J413" s="19">
        <v>1.18</v>
      </c>
      <c r="K413" s="16" t="s">
        <v>136</v>
      </c>
      <c r="L413" s="16" t="s">
        <v>20</v>
      </c>
      <c r="M413" s="16" t="s">
        <v>200</v>
      </c>
      <c r="N413" s="16" t="s">
        <v>1915</v>
      </c>
    </row>
    <row r="414" spans="1:14" ht="20.100000000000001" customHeight="1" x14ac:dyDescent="0.25">
      <c r="A414" s="15" t="s">
        <v>2097</v>
      </c>
      <c r="B414" s="16" t="s">
        <v>66</v>
      </c>
      <c r="C414" s="15">
        <v>8401508</v>
      </c>
      <c r="D414" s="16" t="s">
        <v>90</v>
      </c>
      <c r="E414" s="15" t="s">
        <v>2098</v>
      </c>
      <c r="F414" s="21" t="str">
        <f>HYPERLINK("https://psearch.kitsapgov.com/webappa/index.html?parcelID=2239994&amp;Theme=Imagery","2239994")</f>
        <v>2239994</v>
      </c>
      <c r="G414" s="16" t="s">
        <v>2099</v>
      </c>
      <c r="H414" s="17">
        <v>42794</v>
      </c>
      <c r="I414" s="18">
        <v>2500000</v>
      </c>
      <c r="J414" s="19">
        <v>1.21</v>
      </c>
      <c r="K414" s="16" t="s">
        <v>78</v>
      </c>
      <c r="L414" s="16" t="s">
        <v>38</v>
      </c>
      <c r="M414" s="16" t="s">
        <v>2100</v>
      </c>
      <c r="N414" s="16" t="s">
        <v>2101</v>
      </c>
    </row>
    <row r="415" spans="1:14" ht="20.100000000000001" customHeight="1" x14ac:dyDescent="0.25">
      <c r="A415" s="15" t="s">
        <v>2102</v>
      </c>
      <c r="B415" s="16" t="s">
        <v>2103</v>
      </c>
      <c r="C415" s="15">
        <v>8100506</v>
      </c>
      <c r="D415" s="16" t="s">
        <v>25</v>
      </c>
      <c r="E415" s="15" t="s">
        <v>2104</v>
      </c>
      <c r="F415" s="21" t="str">
        <f>HYPERLINK("https://psearch.kitsapgov.com/webappa/index.html?parcelID=1131853&amp;Theme=Imagery","1131853")</f>
        <v>1131853</v>
      </c>
      <c r="G415" s="16" t="s">
        <v>2105</v>
      </c>
      <c r="H415" s="17">
        <v>42793</v>
      </c>
      <c r="I415" s="18">
        <v>3725000</v>
      </c>
      <c r="J415" s="19">
        <v>0.63</v>
      </c>
      <c r="K415" s="16" t="s">
        <v>85</v>
      </c>
      <c r="L415" s="16" t="s">
        <v>38</v>
      </c>
      <c r="M415" s="16" t="s">
        <v>2106</v>
      </c>
      <c r="N415" s="16" t="s">
        <v>2107</v>
      </c>
    </row>
    <row r="416" spans="1:14" ht="20.100000000000001" customHeight="1" x14ac:dyDescent="0.25">
      <c r="A416" s="15" t="s">
        <v>2108</v>
      </c>
      <c r="B416" s="16" t="s">
        <v>393</v>
      </c>
      <c r="C416" s="15">
        <v>9100542</v>
      </c>
      <c r="D416" s="16" t="s">
        <v>454</v>
      </c>
      <c r="E416" s="15" t="s">
        <v>2109</v>
      </c>
      <c r="F416" s="21" t="str">
        <f>HYPERLINK("https://psearch.kitsapgov.com/webappa/index.html?parcelID=2176626&amp;Theme=Imagery","2176626")</f>
        <v>2176626</v>
      </c>
      <c r="G416" s="16" t="s">
        <v>2110</v>
      </c>
      <c r="H416" s="17">
        <v>42789</v>
      </c>
      <c r="I416" s="18">
        <v>16400000</v>
      </c>
      <c r="J416" s="19">
        <v>5.44</v>
      </c>
      <c r="K416" s="16" t="s">
        <v>1070</v>
      </c>
      <c r="L416" s="16" t="s">
        <v>38</v>
      </c>
      <c r="M416" s="16" t="s">
        <v>2111</v>
      </c>
      <c r="N416" s="16" t="s">
        <v>2112</v>
      </c>
    </row>
    <row r="417" spans="1:14" ht="20.100000000000001" customHeight="1" x14ac:dyDescent="0.25">
      <c r="A417" s="15" t="s">
        <v>2113</v>
      </c>
      <c r="B417" s="16" t="s">
        <v>104</v>
      </c>
      <c r="C417" s="15">
        <v>9100541</v>
      </c>
      <c r="D417" s="16" t="s">
        <v>215</v>
      </c>
      <c r="E417" s="15" t="s">
        <v>2114</v>
      </c>
      <c r="F417" s="21" t="str">
        <f>HYPERLINK("https://psearch.kitsapgov.com/webappa/index.html?parcelID=1462050&amp;Theme=Imagery","1462050")</f>
        <v>1462050</v>
      </c>
      <c r="G417" s="16" t="s">
        <v>2115</v>
      </c>
      <c r="H417" s="17">
        <v>42795</v>
      </c>
      <c r="I417" s="18">
        <v>287500</v>
      </c>
      <c r="J417" s="19">
        <v>0.21</v>
      </c>
      <c r="K417" s="16" t="s">
        <v>235</v>
      </c>
      <c r="L417" s="16" t="s">
        <v>38</v>
      </c>
      <c r="M417" s="16" t="s">
        <v>2116</v>
      </c>
      <c r="N417" s="16" t="s">
        <v>2117</v>
      </c>
    </row>
    <row r="418" spans="1:14" ht="20.100000000000001" customHeight="1" x14ac:dyDescent="0.25">
      <c r="A418" s="15" t="s">
        <v>2118</v>
      </c>
      <c r="B418" s="16" t="s">
        <v>66</v>
      </c>
      <c r="C418" s="15">
        <v>8100502</v>
      </c>
      <c r="D418" s="16" t="s">
        <v>67</v>
      </c>
      <c r="E418" s="15" t="s">
        <v>2119</v>
      </c>
      <c r="F418" s="21" t="str">
        <f>HYPERLINK("https://psearch.kitsapgov.com/webappa/index.html?parcelID=2463024&amp;Theme=Imagery","2463024")</f>
        <v>2463024</v>
      </c>
      <c r="G418" s="16" t="s">
        <v>2120</v>
      </c>
      <c r="H418" s="17">
        <v>42790</v>
      </c>
      <c r="I418" s="18">
        <v>2732874</v>
      </c>
      <c r="J418" s="19">
        <v>3.78</v>
      </c>
      <c r="K418" s="16" t="s">
        <v>173</v>
      </c>
      <c r="L418" s="16" t="s">
        <v>38</v>
      </c>
      <c r="M418" s="16" t="s">
        <v>2121</v>
      </c>
      <c r="N418" s="16" t="s">
        <v>2122</v>
      </c>
    </row>
    <row r="419" spans="1:14" ht="20.100000000000001" customHeight="1" x14ac:dyDescent="0.25">
      <c r="A419" s="15" t="s">
        <v>2123</v>
      </c>
      <c r="B419" s="16" t="s">
        <v>286</v>
      </c>
      <c r="C419" s="15">
        <v>8400206</v>
      </c>
      <c r="D419" s="16" t="s">
        <v>287</v>
      </c>
      <c r="E419" s="15" t="s">
        <v>2124</v>
      </c>
      <c r="F419" s="21" t="str">
        <f>HYPERLINK("https://psearch.kitsapgov.com/webappa/index.html?parcelID=2260925&amp;Theme=Imagery","2260925")</f>
        <v>2260925</v>
      </c>
      <c r="G419" s="16" t="s">
        <v>1551</v>
      </c>
      <c r="H419" s="17">
        <v>42797</v>
      </c>
      <c r="I419" s="18">
        <v>40000</v>
      </c>
      <c r="J419" s="19">
        <v>0</v>
      </c>
      <c r="L419" s="16" t="s">
        <v>290</v>
      </c>
      <c r="M419" s="16" t="s">
        <v>2125</v>
      </c>
      <c r="N419" s="16" t="s">
        <v>2126</v>
      </c>
    </row>
    <row r="420" spans="1:14" ht="20.100000000000001" customHeight="1" x14ac:dyDescent="0.25">
      <c r="A420" s="15" t="s">
        <v>2127</v>
      </c>
      <c r="B420" s="16" t="s">
        <v>2128</v>
      </c>
      <c r="C420" s="15">
        <v>8303601</v>
      </c>
      <c r="D420" s="16" t="s">
        <v>50</v>
      </c>
      <c r="E420" s="15" t="s">
        <v>2129</v>
      </c>
      <c r="F420" s="21" t="str">
        <f>HYPERLINK("https://psearch.kitsapgov.com/webappa/index.html?parcelID=2386530&amp;Theme=Imagery","2386530")</f>
        <v>2386530</v>
      </c>
      <c r="G420" s="16" t="s">
        <v>2130</v>
      </c>
      <c r="H420" s="17">
        <v>42780</v>
      </c>
      <c r="I420" s="18">
        <v>10049</v>
      </c>
      <c r="J420" s="19">
        <v>7.0000000000000007E-2</v>
      </c>
      <c r="K420" s="16" t="s">
        <v>205</v>
      </c>
      <c r="L420" s="16" t="s">
        <v>20</v>
      </c>
      <c r="M420" s="16" t="s">
        <v>2131</v>
      </c>
      <c r="N420" s="16" t="s">
        <v>2132</v>
      </c>
    </row>
    <row r="421" spans="1:14" ht="20.100000000000001" customHeight="1" x14ac:dyDescent="0.25">
      <c r="A421" s="15" t="s">
        <v>2133</v>
      </c>
      <c r="B421" s="16" t="s">
        <v>164</v>
      </c>
      <c r="C421" s="15">
        <v>8303601</v>
      </c>
      <c r="D421" s="16" t="s">
        <v>50</v>
      </c>
      <c r="E421" s="15" t="s">
        <v>2134</v>
      </c>
      <c r="F421" s="21" t="str">
        <f>HYPERLINK("https://psearch.kitsapgov.com/webappa/index.html?parcelID=1885458&amp;Theme=Imagery","1885458")</f>
        <v>1885458</v>
      </c>
      <c r="G421" s="16" t="s">
        <v>2135</v>
      </c>
      <c r="H421" s="17">
        <v>42801</v>
      </c>
      <c r="I421" s="18">
        <v>299750</v>
      </c>
      <c r="J421" s="19">
        <v>0</v>
      </c>
      <c r="L421" s="16" t="s">
        <v>38</v>
      </c>
      <c r="M421" s="16" t="s">
        <v>2136</v>
      </c>
      <c r="N421" s="16" t="s">
        <v>2137</v>
      </c>
    </row>
    <row r="422" spans="1:14" ht="20.100000000000001" customHeight="1" x14ac:dyDescent="0.25">
      <c r="A422" s="15" t="s">
        <v>2138</v>
      </c>
      <c r="B422" s="16" t="s">
        <v>66</v>
      </c>
      <c r="C422" s="15">
        <v>8400302</v>
      </c>
      <c r="D422" s="16" t="s">
        <v>133</v>
      </c>
      <c r="E422" s="15" t="s">
        <v>2139</v>
      </c>
      <c r="F422" s="21" t="str">
        <f>HYPERLINK("https://psearch.kitsapgov.com/webappa/index.html?parcelID=2585628&amp;Theme=Imagery","2585628")</f>
        <v>2585628</v>
      </c>
      <c r="G422" s="16" t="s">
        <v>135</v>
      </c>
      <c r="H422" s="17">
        <v>42802</v>
      </c>
      <c r="I422" s="18">
        <v>450000</v>
      </c>
      <c r="J422" s="19">
        <v>1.1100000000000001</v>
      </c>
      <c r="K422" s="16" t="s">
        <v>136</v>
      </c>
      <c r="L422" s="16" t="s">
        <v>20</v>
      </c>
      <c r="M422" s="16" t="s">
        <v>2140</v>
      </c>
      <c r="N422" s="16" t="s">
        <v>2141</v>
      </c>
    </row>
    <row r="423" spans="1:14" ht="20.100000000000001" customHeight="1" x14ac:dyDescent="0.25">
      <c r="A423" s="15" t="s">
        <v>2142</v>
      </c>
      <c r="B423" s="16" t="s">
        <v>124</v>
      </c>
      <c r="C423" s="15">
        <v>8401104</v>
      </c>
      <c r="D423" s="16" t="s">
        <v>144</v>
      </c>
      <c r="E423" s="15" t="s">
        <v>1807</v>
      </c>
      <c r="F423" s="21" t="str">
        <f>HYPERLINK("https://psearch.kitsapgov.com/webappa/index.html?parcelID=1924042&amp;Theme=Imagery","1924042")</f>
        <v>1924042</v>
      </c>
      <c r="G423" s="16" t="s">
        <v>1808</v>
      </c>
      <c r="H423" s="17">
        <v>42802</v>
      </c>
      <c r="I423" s="18">
        <v>295000</v>
      </c>
      <c r="J423" s="19">
        <v>0.08</v>
      </c>
      <c r="K423" s="16" t="s">
        <v>194</v>
      </c>
      <c r="L423" s="16" t="s">
        <v>20</v>
      </c>
      <c r="M423" s="16" t="s">
        <v>2143</v>
      </c>
      <c r="N423" s="16" t="s">
        <v>2144</v>
      </c>
    </row>
    <row r="424" spans="1:14" ht="20.100000000000001" customHeight="1" x14ac:dyDescent="0.25">
      <c r="A424" s="15" t="s">
        <v>2145</v>
      </c>
      <c r="B424" s="16" t="s">
        <v>104</v>
      </c>
      <c r="C424" s="15">
        <v>9100541</v>
      </c>
      <c r="D424" s="16" t="s">
        <v>215</v>
      </c>
      <c r="E424" s="15" t="s">
        <v>2146</v>
      </c>
      <c r="F424" s="21" t="str">
        <f>HYPERLINK("https://psearch.kitsapgov.com/webappa/index.html?parcelID=1469535&amp;Theme=Imagery","1469535")</f>
        <v>1469535</v>
      </c>
      <c r="G424" s="16" t="s">
        <v>2115</v>
      </c>
      <c r="H424" s="17">
        <v>42803</v>
      </c>
      <c r="I424" s="18">
        <v>300500</v>
      </c>
      <c r="J424" s="19">
        <v>0.09</v>
      </c>
      <c r="K424" s="16" t="s">
        <v>235</v>
      </c>
      <c r="L424" s="16" t="s">
        <v>38</v>
      </c>
      <c r="M424" s="16" t="s">
        <v>2147</v>
      </c>
      <c r="N424" s="16" t="s">
        <v>2148</v>
      </c>
    </row>
    <row r="425" spans="1:14" ht="20.100000000000001" customHeight="1" x14ac:dyDescent="0.25">
      <c r="A425" s="15" t="s">
        <v>2149</v>
      </c>
      <c r="B425" s="16" t="s">
        <v>89</v>
      </c>
      <c r="C425" s="15">
        <v>8400302</v>
      </c>
      <c r="D425" s="16" t="s">
        <v>133</v>
      </c>
      <c r="E425" s="15" t="s">
        <v>2150</v>
      </c>
      <c r="F425" s="21" t="str">
        <f>HYPERLINK("https://psearch.kitsapgov.com/webappa/index.html?parcelID=2452878&amp;Theme=Imagery","2452878")</f>
        <v>2452878</v>
      </c>
      <c r="G425" s="16" t="s">
        <v>2151</v>
      </c>
      <c r="H425" s="17">
        <v>42814</v>
      </c>
      <c r="I425" s="18">
        <v>2288000</v>
      </c>
      <c r="J425" s="19">
        <v>1.32</v>
      </c>
      <c r="K425" s="16" t="s">
        <v>309</v>
      </c>
      <c r="L425" s="16" t="s">
        <v>38</v>
      </c>
      <c r="M425" s="16" t="s">
        <v>2152</v>
      </c>
      <c r="N425" s="16" t="s">
        <v>2153</v>
      </c>
    </row>
    <row r="426" spans="1:14" ht="20.100000000000001" customHeight="1" x14ac:dyDescent="0.25">
      <c r="A426" s="15" t="s">
        <v>2154</v>
      </c>
      <c r="B426" s="16" t="s">
        <v>33</v>
      </c>
      <c r="C426" s="15">
        <v>8100501</v>
      </c>
      <c r="D426" s="16" t="s">
        <v>117</v>
      </c>
      <c r="E426" s="15" t="s">
        <v>209</v>
      </c>
      <c r="F426" s="21" t="str">
        <f>HYPERLINK("https://psearch.kitsapgov.com/webappa/index.html?parcelID=2583953&amp;Theme=Imagery","2583953")</f>
        <v>2583953</v>
      </c>
      <c r="G426" s="16" t="s">
        <v>210</v>
      </c>
      <c r="H426" s="17">
        <v>42795</v>
      </c>
      <c r="I426" s="18">
        <v>1861144</v>
      </c>
      <c r="J426" s="19">
        <v>0.5</v>
      </c>
      <c r="K426" s="16" t="s">
        <v>120</v>
      </c>
      <c r="L426" s="16" t="s">
        <v>246</v>
      </c>
      <c r="M426" s="16" t="s">
        <v>2155</v>
      </c>
      <c r="N426" s="16" t="s">
        <v>2156</v>
      </c>
    </row>
    <row r="427" spans="1:14" ht="20.100000000000001" customHeight="1" x14ac:dyDescent="0.25">
      <c r="A427" s="15" t="s">
        <v>2157</v>
      </c>
      <c r="B427" s="16" t="s">
        <v>33</v>
      </c>
      <c r="C427" s="15">
        <v>8100501</v>
      </c>
      <c r="D427" s="16" t="s">
        <v>117</v>
      </c>
      <c r="E427" s="15" t="s">
        <v>209</v>
      </c>
      <c r="F427" s="21" t="str">
        <f>HYPERLINK("https://psearch.kitsapgov.com/webappa/index.html?parcelID=2583953&amp;Theme=Imagery","2583953")</f>
        <v>2583953</v>
      </c>
      <c r="G427" s="16" t="s">
        <v>210</v>
      </c>
      <c r="H427" s="17">
        <v>42795</v>
      </c>
      <c r="I427" s="18">
        <v>118856</v>
      </c>
      <c r="J427" s="19">
        <v>0.5</v>
      </c>
      <c r="K427" s="16" t="s">
        <v>120</v>
      </c>
      <c r="L427" s="16" t="s">
        <v>246</v>
      </c>
      <c r="M427" s="16" t="s">
        <v>2158</v>
      </c>
      <c r="N427" s="16" t="s">
        <v>2156</v>
      </c>
    </row>
    <row r="428" spans="1:14" ht="20.100000000000001" customHeight="1" x14ac:dyDescent="0.25">
      <c r="A428" s="15" t="s">
        <v>2159</v>
      </c>
      <c r="B428" s="16" t="s">
        <v>214</v>
      </c>
      <c r="C428" s="15">
        <v>8100501</v>
      </c>
      <c r="D428" s="16" t="s">
        <v>117</v>
      </c>
      <c r="E428" s="15" t="s">
        <v>2160</v>
      </c>
      <c r="F428" s="21" t="str">
        <f>HYPERLINK("https://psearch.kitsapgov.com/webappa/index.html?parcelID=1426550&amp;Theme=Imagery","1426550")</f>
        <v>1426550</v>
      </c>
      <c r="G428" s="16" t="s">
        <v>2161</v>
      </c>
      <c r="H428" s="17">
        <v>42811</v>
      </c>
      <c r="I428" s="18">
        <v>550000</v>
      </c>
      <c r="J428" s="19">
        <v>0.14000000000000001</v>
      </c>
      <c r="K428" s="16" t="s">
        <v>120</v>
      </c>
      <c r="L428" s="16" t="s">
        <v>38</v>
      </c>
      <c r="M428" s="16" t="s">
        <v>2162</v>
      </c>
      <c r="N428" s="16" t="s">
        <v>2163</v>
      </c>
    </row>
    <row r="429" spans="1:14" ht="20.100000000000001" customHeight="1" x14ac:dyDescent="0.25">
      <c r="A429" s="15" t="s">
        <v>2164</v>
      </c>
      <c r="B429" s="16" t="s">
        <v>124</v>
      </c>
      <c r="C429" s="15">
        <v>9400390</v>
      </c>
      <c r="D429" s="16" t="s">
        <v>1560</v>
      </c>
      <c r="E429" s="15" t="s">
        <v>2165</v>
      </c>
      <c r="F429" s="21" t="str">
        <f>HYPERLINK("https://psearch.kitsapgov.com/webappa/index.html?parcelID=1591890&amp;Theme=Imagery","1591890")</f>
        <v>1591890</v>
      </c>
      <c r="G429" s="16" t="s">
        <v>1562</v>
      </c>
      <c r="H429" s="17">
        <v>42815</v>
      </c>
      <c r="I429" s="18">
        <v>358000</v>
      </c>
      <c r="J429" s="19">
        <v>0.09</v>
      </c>
      <c r="K429" s="16" t="s">
        <v>397</v>
      </c>
      <c r="L429" s="16" t="s">
        <v>38</v>
      </c>
      <c r="M429" s="16" t="s">
        <v>2166</v>
      </c>
      <c r="N429" s="16" t="s">
        <v>1564</v>
      </c>
    </row>
    <row r="430" spans="1:14" ht="20.100000000000001" customHeight="1" x14ac:dyDescent="0.25">
      <c r="A430" s="15" t="s">
        <v>2167</v>
      </c>
      <c r="B430" s="16" t="s">
        <v>89</v>
      </c>
      <c r="C430" s="15">
        <v>8400202</v>
      </c>
      <c r="D430" s="16" t="s">
        <v>158</v>
      </c>
      <c r="E430" s="15" t="s">
        <v>2168</v>
      </c>
      <c r="F430" s="21" t="str">
        <f>HYPERLINK("https://psearch.kitsapgov.com/webappa/index.html?parcelID=2607653&amp;Theme=Imagery","2607653")</f>
        <v>2607653</v>
      </c>
      <c r="G430" s="16" t="s">
        <v>2169</v>
      </c>
      <c r="H430" s="17">
        <v>42818</v>
      </c>
      <c r="I430" s="18">
        <v>2267336</v>
      </c>
      <c r="J430" s="19">
        <v>0.43</v>
      </c>
      <c r="K430" s="16" t="s">
        <v>100</v>
      </c>
      <c r="L430" s="16" t="s">
        <v>38</v>
      </c>
      <c r="M430" s="16" t="s">
        <v>2170</v>
      </c>
      <c r="N430" s="16" t="s">
        <v>2171</v>
      </c>
    </row>
    <row r="431" spans="1:14" ht="20.100000000000001" customHeight="1" x14ac:dyDescent="0.25">
      <c r="A431" s="15" t="s">
        <v>2172</v>
      </c>
      <c r="B431" s="16" t="s">
        <v>57</v>
      </c>
      <c r="C431" s="15">
        <v>8400302</v>
      </c>
      <c r="D431" s="16" t="s">
        <v>133</v>
      </c>
      <c r="E431" s="15" t="s">
        <v>2173</v>
      </c>
      <c r="F431" s="21" t="str">
        <f>HYPERLINK("https://psearch.kitsapgov.com/webappa/index.html?parcelID=2505279&amp;Theme=Imagery","2505279")</f>
        <v>2505279</v>
      </c>
      <c r="G431" s="16" t="s">
        <v>2174</v>
      </c>
      <c r="H431" s="17">
        <v>42807</v>
      </c>
      <c r="I431" s="18">
        <v>178820</v>
      </c>
      <c r="J431" s="19">
        <v>1.08</v>
      </c>
      <c r="K431" s="16" t="s">
        <v>136</v>
      </c>
      <c r="L431" s="16" t="s">
        <v>38</v>
      </c>
      <c r="M431" s="16" t="s">
        <v>2175</v>
      </c>
      <c r="N431" s="16" t="s">
        <v>2176</v>
      </c>
    </row>
    <row r="432" spans="1:14" ht="20.100000000000001" customHeight="1" x14ac:dyDescent="0.25">
      <c r="A432" s="15" t="s">
        <v>2177</v>
      </c>
      <c r="B432" s="16" t="s">
        <v>49</v>
      </c>
      <c r="C432" s="15">
        <v>8401102</v>
      </c>
      <c r="D432" s="16" t="s">
        <v>766</v>
      </c>
      <c r="E432" s="15" t="s">
        <v>2178</v>
      </c>
      <c r="F432" s="21" t="str">
        <f>HYPERLINK("https://psearch.kitsapgov.com/webappa/index.html?parcelID=1246370&amp;Theme=Imagery","1246370")</f>
        <v>1246370</v>
      </c>
      <c r="G432" s="16" t="s">
        <v>2179</v>
      </c>
      <c r="H432" s="17">
        <v>42814</v>
      </c>
      <c r="I432" s="18">
        <v>80000</v>
      </c>
      <c r="J432" s="19">
        <v>0.35</v>
      </c>
      <c r="K432" s="16" t="s">
        <v>188</v>
      </c>
      <c r="L432" s="16" t="s">
        <v>372</v>
      </c>
      <c r="M432" s="16" t="s">
        <v>2180</v>
      </c>
      <c r="N432" s="16" t="s">
        <v>2181</v>
      </c>
    </row>
    <row r="433" spans="1:14" ht="20.100000000000001" customHeight="1" x14ac:dyDescent="0.25">
      <c r="A433" s="15" t="s">
        <v>2182</v>
      </c>
      <c r="B433" s="16" t="s">
        <v>49</v>
      </c>
      <c r="C433" s="15">
        <v>8401101</v>
      </c>
      <c r="D433" s="16" t="s">
        <v>185</v>
      </c>
      <c r="E433" s="15" t="s">
        <v>2183</v>
      </c>
      <c r="F433" s="21" t="str">
        <f>HYPERLINK("https://psearch.kitsapgov.com/webappa/index.html?parcelID=1239649&amp;Theme=Imagery","1239649")</f>
        <v>1239649</v>
      </c>
      <c r="G433" s="16" t="s">
        <v>2184</v>
      </c>
      <c r="H433" s="17">
        <v>42823</v>
      </c>
      <c r="I433" s="18">
        <v>355000</v>
      </c>
      <c r="J433" s="19">
        <v>0.51</v>
      </c>
      <c r="K433" s="16" t="s">
        <v>188</v>
      </c>
      <c r="L433" s="16" t="s">
        <v>38</v>
      </c>
      <c r="M433" s="16" t="s">
        <v>2185</v>
      </c>
      <c r="N433" s="16" t="s">
        <v>2186</v>
      </c>
    </row>
    <row r="434" spans="1:14" ht="20.100000000000001" customHeight="1" x14ac:dyDescent="0.25">
      <c r="A434" s="15" t="s">
        <v>2187</v>
      </c>
      <c r="B434" s="16" t="s">
        <v>66</v>
      </c>
      <c r="C434" s="15">
        <v>8100502</v>
      </c>
      <c r="D434" s="16" t="s">
        <v>67</v>
      </c>
      <c r="E434" s="15" t="s">
        <v>171</v>
      </c>
      <c r="F434" s="21" t="str">
        <f>HYPERLINK("https://psearch.kitsapgov.com/webappa/index.html?parcelID=2158970&amp;Theme=Imagery","2158970")</f>
        <v>2158970</v>
      </c>
      <c r="G434" s="16" t="s">
        <v>172</v>
      </c>
      <c r="H434" s="17">
        <v>42820</v>
      </c>
      <c r="I434" s="18">
        <v>1097190</v>
      </c>
      <c r="J434" s="19">
        <v>1.1299999999999999</v>
      </c>
      <c r="K434" s="16" t="s">
        <v>173</v>
      </c>
      <c r="L434" s="16" t="s">
        <v>38</v>
      </c>
      <c r="M434" s="16" t="s">
        <v>2188</v>
      </c>
      <c r="N434" s="16" t="s">
        <v>2189</v>
      </c>
    </row>
    <row r="435" spans="1:14" ht="20.100000000000001" customHeight="1" x14ac:dyDescent="0.25">
      <c r="A435" s="15" t="s">
        <v>2190</v>
      </c>
      <c r="B435" s="16" t="s">
        <v>66</v>
      </c>
      <c r="C435" s="15">
        <v>8100502</v>
      </c>
      <c r="D435" s="16" t="s">
        <v>67</v>
      </c>
      <c r="E435" s="15" t="s">
        <v>171</v>
      </c>
      <c r="F435" s="21" t="str">
        <f>HYPERLINK("https://psearch.kitsapgov.com/webappa/index.html?parcelID=2158970&amp;Theme=Imagery","2158970")</f>
        <v>2158970</v>
      </c>
      <c r="G435" s="16" t="s">
        <v>172</v>
      </c>
      <c r="H435" s="17">
        <v>42823</v>
      </c>
      <c r="I435" s="18">
        <v>914390</v>
      </c>
      <c r="J435" s="19">
        <v>1.1299999999999999</v>
      </c>
      <c r="K435" s="16" t="s">
        <v>173</v>
      </c>
      <c r="L435" s="16" t="s">
        <v>1933</v>
      </c>
      <c r="M435" s="16" t="s">
        <v>2191</v>
      </c>
      <c r="N435" s="16" t="s">
        <v>2189</v>
      </c>
    </row>
    <row r="436" spans="1:14" ht="20.100000000000001" customHeight="1" x14ac:dyDescent="0.25">
      <c r="A436" s="15" t="s">
        <v>2192</v>
      </c>
      <c r="B436" s="16" t="s">
        <v>124</v>
      </c>
      <c r="C436" s="15">
        <v>9401120</v>
      </c>
      <c r="D436" s="16" t="s">
        <v>125</v>
      </c>
      <c r="E436" s="15" t="s">
        <v>2193</v>
      </c>
      <c r="F436" s="21" t="str">
        <f>HYPERLINK("https://psearch.kitsapgov.com/webappa/index.html?parcelID=1125277&amp;Theme=Imagery","1125277")</f>
        <v>1125277</v>
      </c>
      <c r="G436" s="16" t="s">
        <v>2194</v>
      </c>
      <c r="H436" s="17">
        <v>42822</v>
      </c>
      <c r="I436" s="18">
        <v>263000</v>
      </c>
      <c r="J436" s="19">
        <v>1.34</v>
      </c>
      <c r="K436" s="16" t="s">
        <v>128</v>
      </c>
      <c r="L436" s="16" t="s">
        <v>38</v>
      </c>
      <c r="M436" s="16" t="s">
        <v>2195</v>
      </c>
      <c r="N436" s="16" t="s">
        <v>2196</v>
      </c>
    </row>
    <row r="437" spans="1:14" ht="20.100000000000001" customHeight="1" x14ac:dyDescent="0.25">
      <c r="A437" s="15" t="s">
        <v>2197</v>
      </c>
      <c r="B437" s="16" t="s">
        <v>89</v>
      </c>
      <c r="C437" s="15">
        <v>9100541</v>
      </c>
      <c r="D437" s="16" t="s">
        <v>215</v>
      </c>
      <c r="E437" s="15" t="s">
        <v>2198</v>
      </c>
      <c r="F437" s="21" t="str">
        <f>HYPERLINK("https://psearch.kitsapgov.com/webappa/index.html?parcelID=1454826&amp;Theme=Imagery","1454826")</f>
        <v>1454826</v>
      </c>
      <c r="G437" s="16" t="s">
        <v>2199</v>
      </c>
      <c r="H437" s="17">
        <v>42818</v>
      </c>
      <c r="I437" s="18">
        <v>99000</v>
      </c>
      <c r="J437" s="19">
        <v>0.1</v>
      </c>
      <c r="K437" s="16" t="s">
        <v>1070</v>
      </c>
      <c r="L437" s="16" t="s">
        <v>38</v>
      </c>
      <c r="M437" s="16" t="s">
        <v>2200</v>
      </c>
      <c r="N437" s="16" t="s">
        <v>600</v>
      </c>
    </row>
    <row r="438" spans="1:14" ht="20.100000000000001" customHeight="1" x14ac:dyDescent="0.25">
      <c r="A438" s="15" t="s">
        <v>2201</v>
      </c>
      <c r="B438" s="16" t="s">
        <v>49</v>
      </c>
      <c r="C438" s="15">
        <v>8401508</v>
      </c>
      <c r="D438" s="16" t="s">
        <v>90</v>
      </c>
      <c r="E438" s="15" t="s">
        <v>903</v>
      </c>
      <c r="F438" s="21" t="str">
        <f>HYPERLINK("https://psearch.kitsapgov.com/webappa/index.html?parcelID=1263854&amp;Theme=Imagery","1263854")</f>
        <v>1263854</v>
      </c>
      <c r="G438" s="16" t="s">
        <v>904</v>
      </c>
      <c r="H438" s="17">
        <v>42825</v>
      </c>
      <c r="I438" s="18">
        <v>305000</v>
      </c>
      <c r="J438" s="19">
        <v>0.74</v>
      </c>
      <c r="K438" s="16" t="s">
        <v>78</v>
      </c>
      <c r="L438" s="16" t="s">
        <v>38</v>
      </c>
      <c r="M438" s="16" t="s">
        <v>2202</v>
      </c>
      <c r="N438" s="16" t="s">
        <v>2203</v>
      </c>
    </row>
    <row r="439" spans="1:14" ht="20.100000000000001" customHeight="1" x14ac:dyDescent="0.25">
      <c r="A439" s="15" t="s">
        <v>2204</v>
      </c>
      <c r="B439" s="16" t="s">
        <v>214</v>
      </c>
      <c r="C439" s="15">
        <v>9100521</v>
      </c>
      <c r="D439" s="16" t="s">
        <v>1393</v>
      </c>
      <c r="E439" s="15" t="s">
        <v>2205</v>
      </c>
      <c r="F439" s="21" t="str">
        <f>HYPERLINK("https://psearch.kitsapgov.com/webappa/index.html?parcelID=1152180&amp;Theme=Imagery","1152180")</f>
        <v>1152180</v>
      </c>
      <c r="G439" s="16" t="s">
        <v>2206</v>
      </c>
      <c r="H439" s="17">
        <v>42830</v>
      </c>
      <c r="I439" s="18">
        <v>600000</v>
      </c>
      <c r="J439" s="19">
        <v>0.35</v>
      </c>
      <c r="K439" s="16" t="s">
        <v>235</v>
      </c>
      <c r="L439" s="16" t="s">
        <v>38</v>
      </c>
      <c r="M439" s="16" t="s">
        <v>2207</v>
      </c>
      <c r="N439" s="16" t="s">
        <v>2208</v>
      </c>
    </row>
    <row r="440" spans="1:14" ht="20.100000000000001" customHeight="1" x14ac:dyDescent="0.25">
      <c r="A440" s="15" t="s">
        <v>2209</v>
      </c>
      <c r="B440" s="16" t="s">
        <v>66</v>
      </c>
      <c r="C440" s="15">
        <v>8401104</v>
      </c>
      <c r="D440" s="16" t="s">
        <v>144</v>
      </c>
      <c r="E440" s="15" t="s">
        <v>2210</v>
      </c>
      <c r="F440" s="21" t="str">
        <f>HYPERLINK("https://psearch.kitsapgov.com/webappa/index.html?parcelID=2551992&amp;Theme=Imagery","2551992")</f>
        <v>2551992</v>
      </c>
      <c r="G440" s="16" t="s">
        <v>2211</v>
      </c>
      <c r="H440" s="17">
        <v>42832</v>
      </c>
      <c r="I440" s="18">
        <v>1450000</v>
      </c>
      <c r="J440" s="19">
        <v>20.45</v>
      </c>
      <c r="K440" s="16" t="s">
        <v>61</v>
      </c>
      <c r="L440" s="16" t="s">
        <v>246</v>
      </c>
      <c r="M440" s="16" t="s">
        <v>2212</v>
      </c>
      <c r="N440" s="16" t="s">
        <v>2213</v>
      </c>
    </row>
    <row r="441" spans="1:14" ht="20.100000000000001" customHeight="1" x14ac:dyDescent="0.25">
      <c r="A441" s="15" t="s">
        <v>2214</v>
      </c>
      <c r="B441" s="16" t="s">
        <v>214</v>
      </c>
      <c r="C441" s="15">
        <v>9100541</v>
      </c>
      <c r="D441" s="16" t="s">
        <v>215</v>
      </c>
      <c r="E441" s="15" t="s">
        <v>2215</v>
      </c>
      <c r="F441" s="21" t="str">
        <f>HYPERLINK("https://psearch.kitsapgov.com/webappa/index.html?parcelID=1461862&amp;Theme=Imagery","1461862")</f>
        <v>1461862</v>
      </c>
      <c r="G441" s="16" t="s">
        <v>2216</v>
      </c>
      <c r="H441" s="17">
        <v>42816</v>
      </c>
      <c r="I441" s="18">
        <v>395000</v>
      </c>
      <c r="J441" s="19">
        <v>0.16</v>
      </c>
      <c r="K441" s="16" t="s">
        <v>235</v>
      </c>
      <c r="L441" s="16" t="s">
        <v>38</v>
      </c>
      <c r="M441" s="16" t="s">
        <v>2217</v>
      </c>
      <c r="N441" s="16" t="s">
        <v>2218</v>
      </c>
    </row>
    <row r="442" spans="1:14" ht="20.100000000000001" customHeight="1" x14ac:dyDescent="0.25">
      <c r="A442" s="15" t="s">
        <v>2219</v>
      </c>
      <c r="B442" s="16" t="s">
        <v>96</v>
      </c>
      <c r="C442" s="15">
        <v>8402307</v>
      </c>
      <c r="D442" s="16" t="s">
        <v>151</v>
      </c>
      <c r="E442" s="15" t="s">
        <v>2220</v>
      </c>
      <c r="F442" s="21" t="str">
        <f>HYPERLINK("https://psearch.kitsapgov.com/webappa/index.html?parcelID=1853902&amp;Theme=Imagery","1853902")</f>
        <v>1853902</v>
      </c>
      <c r="G442" s="16" t="s">
        <v>2221</v>
      </c>
      <c r="H442" s="17">
        <v>42831</v>
      </c>
      <c r="I442" s="18">
        <v>475000</v>
      </c>
      <c r="J442" s="19">
        <v>0.79</v>
      </c>
      <c r="K442" s="16" t="s">
        <v>194</v>
      </c>
      <c r="L442" s="16" t="s">
        <v>38</v>
      </c>
      <c r="M442" s="16" t="s">
        <v>2222</v>
      </c>
      <c r="N442" s="16" t="s">
        <v>2223</v>
      </c>
    </row>
    <row r="443" spans="1:14" ht="20.100000000000001" customHeight="1" x14ac:dyDescent="0.25">
      <c r="A443" s="15" t="s">
        <v>2224</v>
      </c>
      <c r="B443" s="16" t="s">
        <v>286</v>
      </c>
      <c r="C443" s="15">
        <v>8400206</v>
      </c>
      <c r="D443" s="16" t="s">
        <v>287</v>
      </c>
      <c r="E443" s="15" t="s">
        <v>2225</v>
      </c>
      <c r="F443" s="21" t="str">
        <f>HYPERLINK("https://psearch.kitsapgov.com/webappa/index.html?parcelID=2070902&amp;Theme=Imagery","2070902")</f>
        <v>2070902</v>
      </c>
      <c r="G443" s="16" t="s">
        <v>2226</v>
      </c>
      <c r="H443" s="17">
        <v>42832</v>
      </c>
      <c r="I443" s="18">
        <v>57500</v>
      </c>
      <c r="J443" s="19">
        <v>0</v>
      </c>
      <c r="L443" s="16" t="s">
        <v>38</v>
      </c>
      <c r="M443" s="16" t="s">
        <v>2227</v>
      </c>
      <c r="N443" s="16" t="s">
        <v>2228</v>
      </c>
    </row>
    <row r="444" spans="1:14" ht="20.100000000000001" customHeight="1" x14ac:dyDescent="0.25">
      <c r="A444" s="15" t="s">
        <v>2229</v>
      </c>
      <c r="B444" s="16" t="s">
        <v>393</v>
      </c>
      <c r="C444" s="15">
        <v>9401592</v>
      </c>
      <c r="D444" s="16" t="s">
        <v>705</v>
      </c>
      <c r="E444" s="15" t="s">
        <v>2230</v>
      </c>
      <c r="F444" s="21" t="str">
        <f>HYPERLINK("https://psearch.kitsapgov.com/webappa/index.html?parcelID=1973817&amp;Theme=Imagery","1973817")</f>
        <v>1973817</v>
      </c>
      <c r="G444" s="16" t="s">
        <v>2231</v>
      </c>
      <c r="H444" s="17">
        <v>42842</v>
      </c>
      <c r="I444" s="18">
        <v>16500000</v>
      </c>
      <c r="J444" s="19">
        <v>9.92</v>
      </c>
      <c r="K444" s="16" t="s">
        <v>708</v>
      </c>
      <c r="L444" s="16" t="s">
        <v>856</v>
      </c>
      <c r="M444" s="16" t="s">
        <v>2232</v>
      </c>
      <c r="N444" s="16" t="s">
        <v>2233</v>
      </c>
    </row>
    <row r="445" spans="1:14" ht="20.100000000000001" customHeight="1" x14ac:dyDescent="0.25">
      <c r="A445" s="15" t="s">
        <v>2234</v>
      </c>
      <c r="B445" s="16" t="s">
        <v>89</v>
      </c>
      <c r="C445" s="15">
        <v>8402307</v>
      </c>
      <c r="D445" s="16" t="s">
        <v>151</v>
      </c>
      <c r="E445" s="15" t="s">
        <v>2235</v>
      </c>
      <c r="F445" s="21" t="str">
        <f>HYPERLINK("https://psearch.kitsapgov.com/webappa/index.html?parcelID=2587905&amp;Theme=Imagery","2587905")</f>
        <v>2587905</v>
      </c>
      <c r="G445" s="16" t="s">
        <v>2236</v>
      </c>
      <c r="H445" s="17">
        <v>42837</v>
      </c>
      <c r="I445" s="18">
        <v>3208000</v>
      </c>
      <c r="J445" s="19">
        <v>2.67</v>
      </c>
      <c r="K445" s="16" t="s">
        <v>154</v>
      </c>
      <c r="L445" s="16" t="s">
        <v>38</v>
      </c>
      <c r="M445" s="16" t="s">
        <v>879</v>
      </c>
      <c r="N445" s="16" t="s">
        <v>2237</v>
      </c>
    </row>
    <row r="446" spans="1:14" ht="20.100000000000001" customHeight="1" x14ac:dyDescent="0.25">
      <c r="A446" s="15" t="s">
        <v>2238</v>
      </c>
      <c r="B446" s="16" t="s">
        <v>214</v>
      </c>
      <c r="C446" s="15">
        <v>9401132</v>
      </c>
      <c r="D446" s="16" t="s">
        <v>2239</v>
      </c>
      <c r="E446" s="15" t="s">
        <v>2240</v>
      </c>
      <c r="F446" s="21" t="str">
        <f>HYPERLINK("https://psearch.kitsapgov.com/webappa/index.html?parcelID=1633841&amp;Theme=Imagery","1633841")</f>
        <v>1633841</v>
      </c>
      <c r="G446" s="16" t="s">
        <v>2241</v>
      </c>
      <c r="H446" s="17">
        <v>42844</v>
      </c>
      <c r="I446" s="18">
        <v>425000</v>
      </c>
      <c r="J446" s="19">
        <v>0.56999999999999995</v>
      </c>
      <c r="K446" s="16" t="s">
        <v>128</v>
      </c>
      <c r="L446" s="16" t="s">
        <v>79</v>
      </c>
      <c r="M446" s="16" t="s">
        <v>2242</v>
      </c>
      <c r="N446" s="16" t="s">
        <v>1210</v>
      </c>
    </row>
    <row r="447" spans="1:14" ht="20.100000000000001" customHeight="1" x14ac:dyDescent="0.25">
      <c r="A447" s="15" t="s">
        <v>2243</v>
      </c>
      <c r="B447" s="16" t="s">
        <v>57</v>
      </c>
      <c r="C447" s="15">
        <v>8400201</v>
      </c>
      <c r="D447" s="16" t="s">
        <v>941</v>
      </c>
      <c r="E447" s="15" t="s">
        <v>2244</v>
      </c>
      <c r="F447" s="21" t="str">
        <f>HYPERLINK("https://psearch.kitsapgov.com/webappa/index.html?parcelID=2596120&amp;Theme=Imagery","2596120")</f>
        <v>2596120</v>
      </c>
      <c r="G447" s="16" t="s">
        <v>2245</v>
      </c>
      <c r="H447" s="17">
        <v>42835</v>
      </c>
      <c r="I447" s="18">
        <v>1200000</v>
      </c>
      <c r="J447" s="19">
        <v>0.74</v>
      </c>
      <c r="K447" s="16" t="s">
        <v>944</v>
      </c>
      <c r="L447" s="16" t="s">
        <v>20</v>
      </c>
      <c r="M447" s="16" t="s">
        <v>2246</v>
      </c>
      <c r="N447" s="16" t="s">
        <v>2247</v>
      </c>
    </row>
    <row r="448" spans="1:14" ht="20.100000000000001" customHeight="1" x14ac:dyDescent="0.25">
      <c r="A448" s="15" t="s">
        <v>2248</v>
      </c>
      <c r="B448" s="16" t="s">
        <v>602</v>
      </c>
      <c r="C448" s="15">
        <v>8303601</v>
      </c>
      <c r="D448" s="16" t="s">
        <v>50</v>
      </c>
      <c r="E448" s="15" t="s">
        <v>2249</v>
      </c>
      <c r="F448" s="21" t="str">
        <f>HYPERLINK("https://psearch.kitsapgov.com/webappa/index.html?parcelID=2593788&amp;Theme=Imagery","2593788")</f>
        <v>2593788</v>
      </c>
      <c r="G448" s="16" t="s">
        <v>2250</v>
      </c>
      <c r="H448" s="17">
        <v>42843</v>
      </c>
      <c r="I448" s="18">
        <v>185000</v>
      </c>
      <c r="J448" s="19">
        <v>0</v>
      </c>
      <c r="L448" s="16" t="s">
        <v>38</v>
      </c>
      <c r="M448" s="16" t="s">
        <v>2251</v>
      </c>
      <c r="N448" s="16" t="s">
        <v>2252</v>
      </c>
    </row>
    <row r="449" spans="1:14" ht="20.100000000000001" customHeight="1" x14ac:dyDescent="0.25">
      <c r="A449" s="15" t="s">
        <v>2253</v>
      </c>
      <c r="B449" s="16" t="s">
        <v>628</v>
      </c>
      <c r="C449" s="15">
        <v>8100502</v>
      </c>
      <c r="D449" s="16" t="s">
        <v>67</v>
      </c>
      <c r="E449" s="15" t="s">
        <v>2254</v>
      </c>
      <c r="F449" s="21" t="str">
        <f>HYPERLINK("https://psearch.kitsapgov.com/webappa/index.html?parcelID=1429638&amp;Theme=Imagery","1429638")</f>
        <v>1429638</v>
      </c>
      <c r="G449" s="16" t="s">
        <v>2255</v>
      </c>
      <c r="H449" s="17">
        <v>42842</v>
      </c>
      <c r="I449" s="18">
        <v>425000</v>
      </c>
      <c r="J449" s="19">
        <v>1.61</v>
      </c>
      <c r="K449" s="16" t="s">
        <v>173</v>
      </c>
      <c r="L449" s="16" t="s">
        <v>20</v>
      </c>
      <c r="M449" s="16" t="s">
        <v>2256</v>
      </c>
      <c r="N449" s="16" t="s">
        <v>2257</v>
      </c>
    </row>
    <row r="450" spans="1:14" ht="20.100000000000001" customHeight="1" x14ac:dyDescent="0.25">
      <c r="A450" s="15" t="s">
        <v>2258</v>
      </c>
      <c r="B450" s="16" t="s">
        <v>347</v>
      </c>
      <c r="C450" s="15">
        <v>8100502</v>
      </c>
      <c r="D450" s="16" t="s">
        <v>67</v>
      </c>
      <c r="E450" s="15" t="s">
        <v>2259</v>
      </c>
      <c r="F450" s="21" t="str">
        <f>HYPERLINK("https://psearch.kitsapgov.com/webappa/index.html?parcelID=1156637&amp;Theme=Imagery","1156637")</f>
        <v>1156637</v>
      </c>
      <c r="G450" s="16" t="s">
        <v>2260</v>
      </c>
      <c r="H450" s="17">
        <v>42852</v>
      </c>
      <c r="I450" s="18">
        <v>1300000</v>
      </c>
      <c r="J450" s="19">
        <v>0.92</v>
      </c>
      <c r="K450" s="16" t="s">
        <v>173</v>
      </c>
      <c r="L450" s="16" t="s">
        <v>38</v>
      </c>
      <c r="M450" s="16" t="s">
        <v>2261</v>
      </c>
      <c r="N450" s="16" t="s">
        <v>2262</v>
      </c>
    </row>
    <row r="451" spans="1:14" ht="20.100000000000001" customHeight="1" x14ac:dyDescent="0.25">
      <c r="A451" s="15" t="s">
        <v>2263</v>
      </c>
      <c r="B451" s="16" t="s">
        <v>286</v>
      </c>
      <c r="C451" s="15">
        <v>8400206</v>
      </c>
      <c r="D451" s="16" t="s">
        <v>287</v>
      </c>
      <c r="E451" s="15" t="s">
        <v>2264</v>
      </c>
      <c r="F451" s="21" t="str">
        <f>HYPERLINK("https://psearch.kitsapgov.com/webappa/index.html?parcelID=2071918&amp;Theme=Imagery","2071918")</f>
        <v>2071918</v>
      </c>
      <c r="G451" s="16" t="s">
        <v>289</v>
      </c>
      <c r="H451" s="17">
        <v>42829</v>
      </c>
      <c r="I451" s="18">
        <v>35000</v>
      </c>
      <c r="J451" s="19">
        <v>0</v>
      </c>
      <c r="L451" s="16" t="s">
        <v>38</v>
      </c>
      <c r="M451" s="16" t="s">
        <v>2265</v>
      </c>
      <c r="N451" s="16" t="s">
        <v>2266</v>
      </c>
    </row>
    <row r="452" spans="1:14" ht="20.100000000000001" customHeight="1" x14ac:dyDescent="0.25">
      <c r="A452" s="15" t="s">
        <v>2267</v>
      </c>
      <c r="B452" s="16" t="s">
        <v>318</v>
      </c>
      <c r="C452" s="15">
        <v>8402391</v>
      </c>
      <c r="D452" s="16" t="s">
        <v>227</v>
      </c>
      <c r="E452" s="15" t="s">
        <v>418</v>
      </c>
      <c r="F452" s="21" t="str">
        <f>HYPERLINK("https://psearch.kitsapgov.com/webappa/index.html?parcelID=2297695&amp;Theme=Imagery","2297695")</f>
        <v>2297695</v>
      </c>
      <c r="G452" s="16" t="s">
        <v>338</v>
      </c>
      <c r="H452" s="17">
        <v>42857</v>
      </c>
      <c r="I452" s="18">
        <v>37000</v>
      </c>
      <c r="J452" s="19">
        <v>0</v>
      </c>
      <c r="L452" s="16" t="s">
        <v>290</v>
      </c>
      <c r="M452" s="16" t="s">
        <v>420</v>
      </c>
      <c r="N452" s="16" t="s">
        <v>2268</v>
      </c>
    </row>
    <row r="453" spans="1:14" ht="20.100000000000001" customHeight="1" x14ac:dyDescent="0.25">
      <c r="A453" s="15" t="s">
        <v>2269</v>
      </c>
      <c r="B453" s="16" t="s">
        <v>318</v>
      </c>
      <c r="C453" s="15">
        <v>8402391</v>
      </c>
      <c r="D453" s="16" t="s">
        <v>227</v>
      </c>
      <c r="E453" s="15" t="s">
        <v>2270</v>
      </c>
      <c r="F453" s="21" t="str">
        <f>HYPERLINK("https://psearch.kitsapgov.com/webappa/index.html?parcelID=2455715&amp;Theme=Imagery","2455715")</f>
        <v>2455715</v>
      </c>
      <c r="G453" s="16" t="s">
        <v>2271</v>
      </c>
      <c r="H453" s="17">
        <v>42857</v>
      </c>
      <c r="I453" s="18">
        <v>100000</v>
      </c>
      <c r="J453" s="19">
        <v>0</v>
      </c>
      <c r="L453" s="16" t="s">
        <v>290</v>
      </c>
      <c r="M453" s="16" t="s">
        <v>2272</v>
      </c>
      <c r="N453" s="16" t="s">
        <v>2273</v>
      </c>
    </row>
    <row r="454" spans="1:14" ht="20.100000000000001" customHeight="1" x14ac:dyDescent="0.25">
      <c r="A454" s="15" t="s">
        <v>2274</v>
      </c>
      <c r="B454" s="16" t="s">
        <v>318</v>
      </c>
      <c r="C454" s="15">
        <v>8402391</v>
      </c>
      <c r="D454" s="16" t="s">
        <v>227</v>
      </c>
      <c r="E454" s="15" t="s">
        <v>2275</v>
      </c>
      <c r="F454" s="21" t="str">
        <f>HYPERLINK("https://psearch.kitsapgov.com/webappa/index.html?parcelID=2413797&amp;Theme=Imagery","2413797")</f>
        <v>2413797</v>
      </c>
      <c r="G454" s="16" t="s">
        <v>2276</v>
      </c>
      <c r="H454" s="17">
        <v>42858</v>
      </c>
      <c r="I454" s="18">
        <v>105000</v>
      </c>
      <c r="J454" s="19">
        <v>0</v>
      </c>
      <c r="L454" s="16" t="s">
        <v>290</v>
      </c>
      <c r="M454" s="16" t="s">
        <v>2277</v>
      </c>
      <c r="N454" s="16" t="s">
        <v>2272</v>
      </c>
    </row>
    <row r="455" spans="1:14" ht="20.100000000000001" customHeight="1" x14ac:dyDescent="0.25">
      <c r="A455" s="15" t="s">
        <v>2278</v>
      </c>
      <c r="B455" s="16" t="s">
        <v>49</v>
      </c>
      <c r="C455" s="15">
        <v>8100506</v>
      </c>
      <c r="D455" s="16" t="s">
        <v>25</v>
      </c>
      <c r="E455" s="15" t="s">
        <v>2279</v>
      </c>
      <c r="F455" s="21" t="str">
        <f>HYPERLINK("https://psearch.kitsapgov.com/webappa/index.html?parcelID=1108489&amp;Theme=Imagery","1108489")</f>
        <v>1108489</v>
      </c>
      <c r="G455" s="16" t="s">
        <v>2280</v>
      </c>
      <c r="H455" s="17">
        <v>42858</v>
      </c>
      <c r="I455" s="18">
        <v>216000</v>
      </c>
      <c r="J455" s="19">
        <v>0.17</v>
      </c>
      <c r="K455" s="16" t="s">
        <v>85</v>
      </c>
      <c r="L455" s="16" t="s">
        <v>38</v>
      </c>
      <c r="M455" s="16" t="s">
        <v>2281</v>
      </c>
      <c r="N455" s="16" t="s">
        <v>2282</v>
      </c>
    </row>
    <row r="456" spans="1:14" ht="20.100000000000001" customHeight="1" x14ac:dyDescent="0.25">
      <c r="A456" s="15" t="s">
        <v>2283</v>
      </c>
      <c r="B456" s="16" t="s">
        <v>66</v>
      </c>
      <c r="C456" s="15">
        <v>8100505</v>
      </c>
      <c r="D456" s="16" t="s">
        <v>17</v>
      </c>
      <c r="E456" s="15" t="s">
        <v>2284</v>
      </c>
      <c r="F456" s="21" t="str">
        <f>HYPERLINK("https://psearch.kitsapgov.com/webappa/index.html?parcelID=1496793&amp;Theme=Imagery","1496793")</f>
        <v>1496793</v>
      </c>
      <c r="G456" s="16" t="s">
        <v>2285</v>
      </c>
      <c r="H456" s="17">
        <v>42852</v>
      </c>
      <c r="I456" s="18">
        <v>190000</v>
      </c>
      <c r="J456" s="19">
        <v>0.48</v>
      </c>
      <c r="K456" s="16" t="s">
        <v>457</v>
      </c>
      <c r="L456" s="16" t="s">
        <v>129</v>
      </c>
      <c r="M456" s="16" t="s">
        <v>2286</v>
      </c>
      <c r="N456" s="16" t="s">
        <v>2287</v>
      </c>
    </row>
    <row r="457" spans="1:14" ht="20.100000000000001" customHeight="1" x14ac:dyDescent="0.25">
      <c r="A457" s="15" t="s">
        <v>2288</v>
      </c>
      <c r="B457" s="16" t="s">
        <v>57</v>
      </c>
      <c r="C457" s="15">
        <v>8303601</v>
      </c>
      <c r="D457" s="16" t="s">
        <v>50</v>
      </c>
      <c r="E457" s="15" t="s">
        <v>2289</v>
      </c>
      <c r="F457" s="21" t="str">
        <f>HYPERLINK("https://psearch.kitsapgov.com/webappa/index.html?parcelID=1306398&amp;Theme=Imagery","1306398")</f>
        <v>1306398</v>
      </c>
      <c r="G457" s="16" t="s">
        <v>2290</v>
      </c>
      <c r="H457" s="17">
        <v>42857</v>
      </c>
      <c r="I457" s="18">
        <v>735000</v>
      </c>
      <c r="J457" s="19">
        <v>0.39</v>
      </c>
      <c r="K457" s="16" t="s">
        <v>326</v>
      </c>
      <c r="L457" s="16" t="s">
        <v>38</v>
      </c>
      <c r="M457" s="16" t="s">
        <v>2291</v>
      </c>
      <c r="N457" s="16" t="s">
        <v>2292</v>
      </c>
    </row>
    <row r="458" spans="1:14" ht="20.100000000000001" customHeight="1" x14ac:dyDescent="0.25">
      <c r="A458" s="15" t="s">
        <v>2293</v>
      </c>
      <c r="B458" s="16" t="s">
        <v>407</v>
      </c>
      <c r="C458" s="15">
        <v>8303601</v>
      </c>
      <c r="D458" s="16" t="s">
        <v>50</v>
      </c>
      <c r="E458" s="15" t="s">
        <v>2294</v>
      </c>
      <c r="F458" s="21" t="str">
        <f>HYPERLINK("https://psearch.kitsapgov.com/webappa/index.html?parcelID=2612331&amp;Theme=Imagery","2612331")</f>
        <v>2612331</v>
      </c>
      <c r="G458" s="16" t="s">
        <v>2295</v>
      </c>
      <c r="H458" s="17">
        <v>42871</v>
      </c>
      <c r="I458" s="18">
        <v>574000</v>
      </c>
      <c r="J458" s="19">
        <v>0</v>
      </c>
      <c r="L458" s="16" t="s">
        <v>38</v>
      </c>
      <c r="M458" s="16" t="s">
        <v>1994</v>
      </c>
      <c r="N458" s="16" t="s">
        <v>2296</v>
      </c>
    </row>
    <row r="459" spans="1:14" ht="20.100000000000001" customHeight="1" x14ac:dyDescent="0.25">
      <c r="A459" s="15" t="s">
        <v>2297</v>
      </c>
      <c r="B459" s="16" t="s">
        <v>330</v>
      </c>
      <c r="C459" s="15">
        <v>8402306</v>
      </c>
      <c r="D459" s="16" t="s">
        <v>34</v>
      </c>
      <c r="E459" s="15" t="s">
        <v>331</v>
      </c>
      <c r="F459" s="21" t="str">
        <f>HYPERLINK("https://psearch.kitsapgov.com/webappa/index.html?parcelID=1161447&amp;Theme=Imagery","1161447")</f>
        <v>1161447</v>
      </c>
      <c r="G459" s="16" t="s">
        <v>332</v>
      </c>
      <c r="H459" s="17">
        <v>42710</v>
      </c>
      <c r="I459" s="18">
        <v>72600</v>
      </c>
      <c r="J459" s="19">
        <v>1.57</v>
      </c>
      <c r="K459" s="16" t="s">
        <v>333</v>
      </c>
      <c r="L459" s="16" t="s">
        <v>542</v>
      </c>
      <c r="M459" s="16" t="s">
        <v>335</v>
      </c>
      <c r="N459" s="16" t="s">
        <v>1374</v>
      </c>
    </row>
    <row r="460" spans="1:14" ht="20.100000000000001" customHeight="1" x14ac:dyDescent="0.25">
      <c r="A460" s="15" t="s">
        <v>2298</v>
      </c>
      <c r="B460" s="16" t="s">
        <v>89</v>
      </c>
      <c r="C460" s="15">
        <v>8100501</v>
      </c>
      <c r="D460" s="16" t="s">
        <v>117</v>
      </c>
      <c r="E460" s="15" t="s">
        <v>2299</v>
      </c>
      <c r="F460" s="21" t="str">
        <f>HYPERLINK("https://psearch.kitsapgov.com/webappa/index.html?parcelID=1427061&amp;Theme=Imagery","1427061")</f>
        <v>1427061</v>
      </c>
      <c r="G460" s="16" t="s">
        <v>2300</v>
      </c>
      <c r="H460" s="17">
        <v>42874</v>
      </c>
      <c r="I460" s="18">
        <v>310000</v>
      </c>
      <c r="J460" s="19">
        <v>0.08</v>
      </c>
      <c r="K460" s="16" t="s">
        <v>120</v>
      </c>
      <c r="L460" s="16" t="s">
        <v>38</v>
      </c>
      <c r="M460" s="16" t="s">
        <v>2301</v>
      </c>
      <c r="N460" s="16" t="s">
        <v>2302</v>
      </c>
    </row>
    <row r="461" spans="1:14" ht="20.100000000000001" customHeight="1" x14ac:dyDescent="0.25">
      <c r="A461" s="15" t="s">
        <v>2303</v>
      </c>
      <c r="B461" s="16" t="s">
        <v>347</v>
      </c>
      <c r="C461" s="15">
        <v>8401101</v>
      </c>
      <c r="D461" s="16" t="s">
        <v>185</v>
      </c>
      <c r="E461" s="15" t="s">
        <v>2304</v>
      </c>
      <c r="F461" s="21" t="str">
        <f>HYPERLINK("https://psearch.kitsapgov.com/webappa/index.html?parcelID=2425445&amp;Theme=Imagery","2425445")</f>
        <v>2425445</v>
      </c>
      <c r="G461" s="16" t="s">
        <v>2305</v>
      </c>
      <c r="H461" s="17">
        <v>42879</v>
      </c>
      <c r="I461" s="18">
        <v>380000</v>
      </c>
      <c r="J461" s="19">
        <v>0.68</v>
      </c>
      <c r="K461" s="16" t="s">
        <v>78</v>
      </c>
      <c r="L461" s="16" t="s">
        <v>38</v>
      </c>
      <c r="M461" s="16" t="s">
        <v>2306</v>
      </c>
      <c r="N461" s="16" t="s">
        <v>2307</v>
      </c>
    </row>
    <row r="462" spans="1:14" ht="20.100000000000001" customHeight="1" x14ac:dyDescent="0.25">
      <c r="A462" s="15" t="s">
        <v>2308</v>
      </c>
      <c r="B462" s="16" t="s">
        <v>89</v>
      </c>
      <c r="C462" s="15">
        <v>9100541</v>
      </c>
      <c r="D462" s="16" t="s">
        <v>215</v>
      </c>
      <c r="E462" s="15" t="s">
        <v>2309</v>
      </c>
      <c r="F462" s="21" t="str">
        <f>HYPERLINK("https://psearch.kitsapgov.com/webappa/index.html?parcelID=1138700&amp;Theme=Imagery","1138700")</f>
        <v>1138700</v>
      </c>
      <c r="G462" s="16" t="s">
        <v>2310</v>
      </c>
      <c r="H462" s="17">
        <v>42877</v>
      </c>
      <c r="I462" s="18">
        <v>267500</v>
      </c>
      <c r="J462" s="19">
        <v>0.28999999999999998</v>
      </c>
      <c r="K462" s="16" t="s">
        <v>218</v>
      </c>
      <c r="L462" s="16" t="s">
        <v>38</v>
      </c>
      <c r="M462" s="16" t="s">
        <v>2311</v>
      </c>
      <c r="N462" s="16" t="s">
        <v>2312</v>
      </c>
    </row>
    <row r="463" spans="1:14" ht="20.100000000000001" customHeight="1" x14ac:dyDescent="0.25">
      <c r="A463" s="15" t="s">
        <v>2313</v>
      </c>
      <c r="B463" s="16" t="s">
        <v>49</v>
      </c>
      <c r="C463" s="15">
        <v>8100510</v>
      </c>
      <c r="D463" s="16" t="s">
        <v>401</v>
      </c>
      <c r="E463" s="15" t="s">
        <v>2314</v>
      </c>
      <c r="F463" s="21" t="str">
        <f>HYPERLINK("https://psearch.kitsapgov.com/webappa/index.html?parcelID=1437870&amp;Theme=Imagery","1437870")</f>
        <v>1437870</v>
      </c>
      <c r="G463" s="16" t="s">
        <v>1755</v>
      </c>
      <c r="H463" s="17">
        <v>42881</v>
      </c>
      <c r="I463" s="18">
        <v>56000</v>
      </c>
      <c r="J463" s="19">
        <v>7.0000000000000007E-2</v>
      </c>
      <c r="K463" s="16" t="s">
        <v>28</v>
      </c>
      <c r="L463" s="16" t="s">
        <v>38</v>
      </c>
      <c r="M463" s="16" t="s">
        <v>2315</v>
      </c>
      <c r="N463" s="16" t="s">
        <v>1862</v>
      </c>
    </row>
    <row r="464" spans="1:14" ht="20.100000000000001" customHeight="1" x14ac:dyDescent="0.25">
      <c r="A464" s="15" t="s">
        <v>2316</v>
      </c>
      <c r="B464" s="16" t="s">
        <v>33</v>
      </c>
      <c r="C464" s="15">
        <v>8402306</v>
      </c>
      <c r="D464" s="16" t="s">
        <v>34</v>
      </c>
      <c r="E464" s="15" t="s">
        <v>2317</v>
      </c>
      <c r="F464" s="21" t="str">
        <f>HYPERLINK("https://psearch.kitsapgov.com/webappa/index.html?parcelID=1738095&amp;Theme=Imagery","1738095")</f>
        <v>1738095</v>
      </c>
      <c r="G464" s="16" t="s">
        <v>2318</v>
      </c>
      <c r="H464" s="17">
        <v>42886</v>
      </c>
      <c r="I464" s="18">
        <v>400000</v>
      </c>
      <c r="J464" s="19">
        <v>0.25</v>
      </c>
      <c r="K464" s="16" t="s">
        <v>583</v>
      </c>
      <c r="L464" s="16" t="s">
        <v>20</v>
      </c>
      <c r="M464" s="16" t="s">
        <v>2319</v>
      </c>
      <c r="N464" s="16" t="s">
        <v>2320</v>
      </c>
    </row>
    <row r="465" spans="1:14" ht="20.100000000000001" customHeight="1" x14ac:dyDescent="0.25">
      <c r="A465" s="15" t="s">
        <v>2321</v>
      </c>
      <c r="B465" s="16" t="s">
        <v>347</v>
      </c>
      <c r="C465" s="15">
        <v>8100502</v>
      </c>
      <c r="D465" s="16" t="s">
        <v>67</v>
      </c>
      <c r="E465" s="15" t="s">
        <v>2322</v>
      </c>
      <c r="F465" s="21" t="str">
        <f>HYPERLINK("https://psearch.kitsapgov.com/webappa/index.html?parcelID=1469345&amp;Theme=Imagery","1469345")</f>
        <v>1469345</v>
      </c>
      <c r="G465" s="16" t="s">
        <v>2323</v>
      </c>
      <c r="H465" s="17">
        <v>42887</v>
      </c>
      <c r="I465" s="18">
        <v>700000</v>
      </c>
      <c r="J465" s="19">
        <v>0.83</v>
      </c>
      <c r="K465" s="16" t="s">
        <v>85</v>
      </c>
      <c r="L465" s="16" t="s">
        <v>38</v>
      </c>
      <c r="M465" s="16" t="s">
        <v>2324</v>
      </c>
      <c r="N465" s="16" t="s">
        <v>2325</v>
      </c>
    </row>
    <row r="466" spans="1:14" ht="20.100000000000001" customHeight="1" x14ac:dyDescent="0.25">
      <c r="A466" s="15" t="s">
        <v>2326</v>
      </c>
      <c r="B466" s="16" t="s">
        <v>89</v>
      </c>
      <c r="C466" s="15">
        <v>8400203</v>
      </c>
      <c r="D466" s="16" t="s">
        <v>97</v>
      </c>
      <c r="E466" s="15" t="s">
        <v>2327</v>
      </c>
      <c r="F466" s="21" t="str">
        <f>HYPERLINK("https://psearch.kitsapgov.com/webappa/index.html?parcelID=1336239&amp;Theme=Imagery","1336239")</f>
        <v>1336239</v>
      </c>
      <c r="G466" s="16" t="s">
        <v>2328</v>
      </c>
      <c r="H466" s="17">
        <v>42888</v>
      </c>
      <c r="I466" s="18">
        <v>400000</v>
      </c>
      <c r="J466" s="19">
        <v>0.42</v>
      </c>
      <c r="K466" s="16" t="s">
        <v>100</v>
      </c>
      <c r="L466" s="16" t="s">
        <v>129</v>
      </c>
      <c r="M466" s="16" t="s">
        <v>2329</v>
      </c>
      <c r="N466" s="16" t="s">
        <v>2330</v>
      </c>
    </row>
    <row r="467" spans="1:14" ht="20.100000000000001" customHeight="1" x14ac:dyDescent="0.25">
      <c r="A467" s="15" t="s">
        <v>2331</v>
      </c>
      <c r="B467" s="16" t="s">
        <v>57</v>
      </c>
      <c r="C467" s="15">
        <v>8402391</v>
      </c>
      <c r="D467" s="16" t="s">
        <v>227</v>
      </c>
      <c r="E467" s="15" t="s">
        <v>2332</v>
      </c>
      <c r="F467" s="21" t="str">
        <f>HYPERLINK("https://psearch.kitsapgov.com/webappa/index.html?parcelID=1050277&amp;Theme=Imagery","1050277")</f>
        <v>1050277</v>
      </c>
      <c r="G467" s="16" t="s">
        <v>561</v>
      </c>
      <c r="H467" s="17">
        <v>42892</v>
      </c>
      <c r="I467" s="18">
        <v>300000</v>
      </c>
      <c r="J467" s="19">
        <v>5.94</v>
      </c>
      <c r="K467" s="16" t="s">
        <v>556</v>
      </c>
      <c r="L467" s="16" t="s">
        <v>38</v>
      </c>
      <c r="M467" s="16" t="s">
        <v>2333</v>
      </c>
      <c r="N467" s="16" t="s">
        <v>2334</v>
      </c>
    </row>
    <row r="468" spans="1:14" ht="20.100000000000001" customHeight="1" x14ac:dyDescent="0.25">
      <c r="A468" s="15" t="s">
        <v>2335</v>
      </c>
      <c r="B468" s="16" t="s">
        <v>89</v>
      </c>
      <c r="C468" s="15">
        <v>8400301</v>
      </c>
      <c r="D468" s="16" t="s">
        <v>1139</v>
      </c>
      <c r="E468" s="15" t="s">
        <v>2336</v>
      </c>
      <c r="F468" s="21" t="str">
        <f>HYPERLINK("https://psearch.kitsapgov.com/webappa/index.html?parcelID=2539252&amp;Theme=Imagery","2539252")</f>
        <v>2539252</v>
      </c>
      <c r="G468" s="16" t="s">
        <v>2337</v>
      </c>
      <c r="H468" s="17">
        <v>42888</v>
      </c>
      <c r="I468" s="18">
        <v>1225000</v>
      </c>
      <c r="J468" s="19">
        <v>2.86</v>
      </c>
      <c r="K468" s="16" t="s">
        <v>78</v>
      </c>
      <c r="L468" s="16" t="s">
        <v>38</v>
      </c>
      <c r="M468" s="16" t="s">
        <v>2338</v>
      </c>
      <c r="N468" s="16" t="s">
        <v>2339</v>
      </c>
    </row>
    <row r="469" spans="1:14" ht="20.100000000000001" customHeight="1" x14ac:dyDescent="0.25">
      <c r="A469" s="15" t="s">
        <v>2340</v>
      </c>
      <c r="B469" s="16" t="s">
        <v>286</v>
      </c>
      <c r="C469" s="15">
        <v>8400206</v>
      </c>
      <c r="D469" s="16" t="s">
        <v>287</v>
      </c>
      <c r="E469" s="15" t="s">
        <v>2341</v>
      </c>
      <c r="F469" s="21" t="str">
        <f>HYPERLINK("https://psearch.kitsapgov.com/webappa/index.html?parcelID=2071033&amp;Theme=Imagery","2071033")</f>
        <v>2071033</v>
      </c>
      <c r="G469" s="16" t="s">
        <v>1147</v>
      </c>
      <c r="H469" s="17">
        <v>42891</v>
      </c>
      <c r="I469" s="18">
        <v>47500</v>
      </c>
      <c r="J469" s="19">
        <v>0</v>
      </c>
      <c r="L469" s="16" t="s">
        <v>290</v>
      </c>
      <c r="M469" s="16" t="s">
        <v>2342</v>
      </c>
      <c r="N469" s="16" t="s">
        <v>2343</v>
      </c>
    </row>
    <row r="470" spans="1:14" ht="20.100000000000001" customHeight="1" x14ac:dyDescent="0.25">
      <c r="A470" s="15" t="s">
        <v>2344</v>
      </c>
      <c r="B470" s="16" t="s">
        <v>368</v>
      </c>
      <c r="C470" s="15">
        <v>9100543</v>
      </c>
      <c r="D470" s="16" t="s">
        <v>807</v>
      </c>
      <c r="E470" s="15" t="s">
        <v>2345</v>
      </c>
      <c r="F470" s="21" t="str">
        <f>HYPERLINK("https://psearch.kitsapgov.com/webappa/index.html?parcelID=2103638&amp;Theme=Imagery","2103638")</f>
        <v>2103638</v>
      </c>
      <c r="G470" s="16" t="s">
        <v>2346</v>
      </c>
      <c r="H470" s="17">
        <v>42894</v>
      </c>
      <c r="I470" s="18">
        <v>190000</v>
      </c>
      <c r="J470" s="19">
        <v>0.05</v>
      </c>
      <c r="K470" s="16" t="s">
        <v>839</v>
      </c>
      <c r="L470" s="16" t="s">
        <v>38</v>
      </c>
      <c r="M470" s="16" t="s">
        <v>2347</v>
      </c>
      <c r="N470" s="16" t="s">
        <v>2348</v>
      </c>
    </row>
    <row r="471" spans="1:14" ht="20.100000000000001" customHeight="1" x14ac:dyDescent="0.25">
      <c r="A471" s="15" t="s">
        <v>2349</v>
      </c>
      <c r="B471" s="16" t="s">
        <v>407</v>
      </c>
      <c r="C471" s="15">
        <v>8303601</v>
      </c>
      <c r="D471" s="16" t="s">
        <v>50</v>
      </c>
      <c r="E471" s="15" t="s">
        <v>2350</v>
      </c>
      <c r="F471" s="21" t="str">
        <f>HYPERLINK("https://psearch.kitsapgov.com/webappa/index.html?parcelID=2419794&amp;Theme=Imagery","2419794")</f>
        <v>2419794</v>
      </c>
      <c r="G471" s="16" t="s">
        <v>2351</v>
      </c>
      <c r="H471" s="17">
        <v>42900</v>
      </c>
      <c r="I471" s="18">
        <v>550000</v>
      </c>
      <c r="J471" s="19">
        <v>0</v>
      </c>
      <c r="L471" s="16" t="s">
        <v>38</v>
      </c>
      <c r="M471" s="16" t="s">
        <v>2352</v>
      </c>
      <c r="N471" s="16" t="s">
        <v>2353</v>
      </c>
    </row>
    <row r="472" spans="1:14" ht="20.100000000000001" customHeight="1" x14ac:dyDescent="0.25">
      <c r="A472" s="15" t="s">
        <v>2354</v>
      </c>
      <c r="B472" s="16" t="s">
        <v>407</v>
      </c>
      <c r="C472" s="15">
        <v>8303601</v>
      </c>
      <c r="D472" s="16" t="s">
        <v>50</v>
      </c>
      <c r="E472" s="15" t="s">
        <v>2355</v>
      </c>
      <c r="F472" s="21" t="str">
        <f>HYPERLINK("https://psearch.kitsapgov.com/webappa/index.html?parcelID=2419752&amp;Theme=Imagery","2419752")</f>
        <v>2419752</v>
      </c>
      <c r="G472" s="16" t="s">
        <v>2356</v>
      </c>
      <c r="H472" s="17">
        <v>42898</v>
      </c>
      <c r="I472" s="18">
        <v>750000</v>
      </c>
      <c r="J472" s="19">
        <v>0</v>
      </c>
      <c r="L472" s="16" t="s">
        <v>38</v>
      </c>
      <c r="M472" s="16" t="s">
        <v>2357</v>
      </c>
      <c r="N472" s="16" t="s">
        <v>2353</v>
      </c>
    </row>
    <row r="473" spans="1:14" ht="20.100000000000001" customHeight="1" x14ac:dyDescent="0.25">
      <c r="A473" s="15" t="s">
        <v>2358</v>
      </c>
      <c r="B473" s="16" t="s">
        <v>96</v>
      </c>
      <c r="C473" s="15">
        <v>8401101</v>
      </c>
      <c r="D473" s="16" t="s">
        <v>185</v>
      </c>
      <c r="E473" s="15" t="s">
        <v>2359</v>
      </c>
      <c r="F473" s="21" t="str">
        <f>HYPERLINK("https://psearch.kitsapgov.com/webappa/index.html?parcelID=2061240&amp;Theme=Imagery","2061240")</f>
        <v>2061240</v>
      </c>
      <c r="G473" s="16" t="s">
        <v>2360</v>
      </c>
      <c r="H473" s="17">
        <v>42899</v>
      </c>
      <c r="I473" s="18">
        <v>3838812</v>
      </c>
      <c r="J473" s="19">
        <v>1.57</v>
      </c>
      <c r="K473" s="16" t="s">
        <v>188</v>
      </c>
      <c r="L473" s="16" t="s">
        <v>20</v>
      </c>
      <c r="M473" s="16" t="s">
        <v>2361</v>
      </c>
      <c r="N473" s="16" t="s">
        <v>2362</v>
      </c>
    </row>
    <row r="474" spans="1:14" ht="20.100000000000001" customHeight="1" x14ac:dyDescent="0.25">
      <c r="A474" s="15" t="s">
        <v>2363</v>
      </c>
      <c r="B474" s="16" t="s">
        <v>1353</v>
      </c>
      <c r="C474" s="15">
        <v>8402307</v>
      </c>
      <c r="D474" s="16" t="s">
        <v>151</v>
      </c>
      <c r="E474" s="15" t="s">
        <v>2364</v>
      </c>
      <c r="F474" s="21" t="str">
        <f>HYPERLINK("https://psearch.kitsapgov.com/webappa/index.html?parcelID=1162288&amp;Theme=Imagery","1162288")</f>
        <v>1162288</v>
      </c>
      <c r="G474" s="16" t="s">
        <v>2365</v>
      </c>
      <c r="H474" s="17">
        <v>42899</v>
      </c>
      <c r="I474" s="18">
        <v>230000</v>
      </c>
      <c r="J474" s="19">
        <v>0.25</v>
      </c>
      <c r="K474" s="16" t="s">
        <v>371</v>
      </c>
      <c r="L474" s="16" t="s">
        <v>20</v>
      </c>
      <c r="M474" s="16" t="s">
        <v>2366</v>
      </c>
      <c r="N474" s="16" t="s">
        <v>2367</v>
      </c>
    </row>
    <row r="475" spans="1:14" ht="20.100000000000001" customHeight="1" x14ac:dyDescent="0.25">
      <c r="A475" s="15" t="s">
        <v>2368</v>
      </c>
      <c r="B475" s="16" t="s">
        <v>1893</v>
      </c>
      <c r="C475" s="15">
        <v>9400205</v>
      </c>
      <c r="D475" s="16" t="s">
        <v>2369</v>
      </c>
      <c r="E475" s="15" t="s">
        <v>2370</v>
      </c>
      <c r="F475" s="21" t="str">
        <f>HYPERLINK("https://psearch.kitsapgov.com/webappa/index.html?parcelID=1388735&amp;Theme=Imagery","1388735")</f>
        <v>1388735</v>
      </c>
      <c r="G475" s="16" t="s">
        <v>2371</v>
      </c>
      <c r="H475" s="17">
        <v>42891</v>
      </c>
      <c r="I475" s="18">
        <v>600000</v>
      </c>
      <c r="J475" s="19">
        <v>29.86</v>
      </c>
      <c r="K475" s="16" t="s">
        <v>128</v>
      </c>
      <c r="L475" s="16" t="s">
        <v>38</v>
      </c>
      <c r="M475" s="16" t="s">
        <v>2372</v>
      </c>
      <c r="N475" s="16" t="s">
        <v>2373</v>
      </c>
    </row>
    <row r="476" spans="1:14" ht="20.100000000000001" customHeight="1" x14ac:dyDescent="0.25">
      <c r="A476" s="15" t="s">
        <v>2374</v>
      </c>
      <c r="B476" s="16" t="s">
        <v>104</v>
      </c>
      <c r="C476" s="15">
        <v>8100510</v>
      </c>
      <c r="D476" s="16" t="s">
        <v>401</v>
      </c>
      <c r="E476" s="15" t="s">
        <v>2375</v>
      </c>
      <c r="F476" s="21" t="str">
        <f>HYPERLINK("https://psearch.kitsapgov.com/webappa/index.html?parcelID=1437698&amp;Theme=Imagery","1437698")</f>
        <v>1437698</v>
      </c>
      <c r="G476" s="16" t="s">
        <v>2376</v>
      </c>
      <c r="H476" s="17">
        <v>42905</v>
      </c>
      <c r="I476" s="18">
        <v>150000</v>
      </c>
      <c r="J476" s="19">
        <v>0.08</v>
      </c>
      <c r="K476" s="16" t="s">
        <v>28</v>
      </c>
      <c r="L476" s="16" t="s">
        <v>38</v>
      </c>
      <c r="M476" s="16" t="s">
        <v>2377</v>
      </c>
      <c r="N476" s="16" t="s">
        <v>2378</v>
      </c>
    </row>
    <row r="477" spans="1:14" ht="20.100000000000001" customHeight="1" x14ac:dyDescent="0.25">
      <c r="A477" s="15" t="s">
        <v>2379</v>
      </c>
      <c r="B477" s="16" t="s">
        <v>33</v>
      </c>
      <c r="C477" s="15">
        <v>8100510</v>
      </c>
      <c r="D477" s="16" t="s">
        <v>401</v>
      </c>
      <c r="E477" s="15" t="s">
        <v>2380</v>
      </c>
      <c r="F477" s="21" t="str">
        <f>HYPERLINK("https://psearch.kitsapgov.com/webappa/index.html?parcelID=1437680&amp;Theme=Imagery","1437680")</f>
        <v>1437680</v>
      </c>
      <c r="G477" s="16" t="s">
        <v>2381</v>
      </c>
      <c r="H477" s="17">
        <v>42905</v>
      </c>
      <c r="I477" s="18">
        <v>500000</v>
      </c>
      <c r="J477" s="19">
        <v>0.19</v>
      </c>
      <c r="K477" s="16" t="s">
        <v>28</v>
      </c>
      <c r="L477" s="16" t="s">
        <v>38</v>
      </c>
      <c r="M477" s="16" t="s">
        <v>2377</v>
      </c>
      <c r="N477" s="16" t="s">
        <v>2382</v>
      </c>
    </row>
    <row r="478" spans="1:14" ht="20.100000000000001" customHeight="1" x14ac:dyDescent="0.25">
      <c r="A478" s="15" t="s">
        <v>2383</v>
      </c>
      <c r="B478" s="16" t="s">
        <v>214</v>
      </c>
      <c r="C478" s="15">
        <v>9100541</v>
      </c>
      <c r="D478" s="16" t="s">
        <v>215</v>
      </c>
      <c r="E478" s="15" t="s">
        <v>2384</v>
      </c>
      <c r="F478" s="21" t="str">
        <f>HYPERLINK("https://psearch.kitsapgov.com/webappa/index.html?parcelID=1459072&amp;Theme=Imagery","1459072")</f>
        <v>1459072</v>
      </c>
      <c r="G478" s="16" t="s">
        <v>2385</v>
      </c>
      <c r="H478" s="17">
        <v>42902</v>
      </c>
      <c r="I478" s="18">
        <v>705000</v>
      </c>
      <c r="J478" s="19">
        <v>0.28000000000000003</v>
      </c>
      <c r="K478" s="16" t="s">
        <v>235</v>
      </c>
      <c r="L478" s="16" t="s">
        <v>38</v>
      </c>
      <c r="M478" s="16" t="s">
        <v>2386</v>
      </c>
      <c r="N478" s="16" t="s">
        <v>2387</v>
      </c>
    </row>
    <row r="479" spans="1:14" ht="20.100000000000001" customHeight="1" x14ac:dyDescent="0.25">
      <c r="A479" s="15" t="s">
        <v>2388</v>
      </c>
      <c r="B479" s="16" t="s">
        <v>124</v>
      </c>
      <c r="C479" s="15">
        <v>8401104</v>
      </c>
      <c r="D479" s="16" t="s">
        <v>144</v>
      </c>
      <c r="E479" s="15" t="s">
        <v>1586</v>
      </c>
      <c r="F479" s="21" t="str">
        <f>HYPERLINK("https://psearch.kitsapgov.com/webappa/index.html?parcelID=1924083&amp;Theme=Imagery","1924083")</f>
        <v>1924083</v>
      </c>
      <c r="G479" s="16" t="s">
        <v>1587</v>
      </c>
      <c r="H479" s="17">
        <v>42894</v>
      </c>
      <c r="I479" s="18">
        <v>308999</v>
      </c>
      <c r="J479" s="19">
        <v>0.09</v>
      </c>
      <c r="K479" s="16" t="s">
        <v>194</v>
      </c>
      <c r="L479" s="16" t="s">
        <v>129</v>
      </c>
      <c r="M479" s="16" t="s">
        <v>2143</v>
      </c>
      <c r="N479" s="16" t="s">
        <v>2389</v>
      </c>
    </row>
    <row r="480" spans="1:14" ht="20.100000000000001" customHeight="1" x14ac:dyDescent="0.25">
      <c r="A480" s="15" t="s">
        <v>2390</v>
      </c>
      <c r="B480" s="16" t="s">
        <v>96</v>
      </c>
      <c r="C480" s="15">
        <v>8402308</v>
      </c>
      <c r="D480" s="16" t="s">
        <v>75</v>
      </c>
      <c r="E480" s="15" t="s">
        <v>2391</v>
      </c>
      <c r="F480" s="21" t="str">
        <f>HYPERLINK("https://psearch.kitsapgov.com/webappa/index.html?parcelID=1169150&amp;Theme=Imagery","1169150")</f>
        <v>1169150</v>
      </c>
      <c r="G480" s="16" t="s">
        <v>2392</v>
      </c>
      <c r="H480" s="17">
        <v>42907</v>
      </c>
      <c r="I480" s="18">
        <v>1720000</v>
      </c>
      <c r="J480" s="19">
        <v>5.15</v>
      </c>
      <c r="K480" s="16" t="s">
        <v>78</v>
      </c>
      <c r="L480" s="16" t="s">
        <v>38</v>
      </c>
      <c r="M480" s="16" t="s">
        <v>2393</v>
      </c>
      <c r="N480" s="16" t="s">
        <v>2394</v>
      </c>
    </row>
    <row r="481" spans="1:14" ht="20.100000000000001" customHeight="1" x14ac:dyDescent="0.25">
      <c r="A481" s="15" t="s">
        <v>2395</v>
      </c>
      <c r="B481" s="16" t="s">
        <v>1031</v>
      </c>
      <c r="C481" s="15">
        <v>8100506</v>
      </c>
      <c r="D481" s="16" t="s">
        <v>25</v>
      </c>
      <c r="E481" s="15" t="s">
        <v>2396</v>
      </c>
      <c r="F481" s="21" t="str">
        <f>HYPERLINK("https://psearch.kitsapgov.com/webappa/index.html?parcelID=2029122&amp;Theme=Imagery","2029122")</f>
        <v>2029122</v>
      </c>
      <c r="G481" s="16" t="s">
        <v>2397</v>
      </c>
      <c r="H481" s="17">
        <v>42906</v>
      </c>
      <c r="I481" s="18">
        <v>575000</v>
      </c>
      <c r="J481" s="19">
        <v>0.56999999999999995</v>
      </c>
      <c r="K481" s="16" t="s">
        <v>839</v>
      </c>
      <c r="L481" s="16" t="s">
        <v>372</v>
      </c>
      <c r="M481" s="16" t="s">
        <v>2398</v>
      </c>
      <c r="N481" s="16" t="s">
        <v>2399</v>
      </c>
    </row>
    <row r="482" spans="1:14" ht="20.100000000000001" customHeight="1" x14ac:dyDescent="0.25">
      <c r="A482" s="15" t="s">
        <v>2400</v>
      </c>
      <c r="B482" s="16" t="s">
        <v>124</v>
      </c>
      <c r="C482" s="15">
        <v>9100541</v>
      </c>
      <c r="D482" s="16" t="s">
        <v>215</v>
      </c>
      <c r="E482" s="15" t="s">
        <v>2401</v>
      </c>
      <c r="F482" s="21" t="str">
        <f>HYPERLINK("https://psearch.kitsapgov.com/webappa/index.html?parcelID=2418267&amp;Theme=Imagery","2418267")</f>
        <v>2418267</v>
      </c>
      <c r="G482" s="16" t="s">
        <v>2402</v>
      </c>
      <c r="H482" s="17">
        <v>42906</v>
      </c>
      <c r="I482" s="18">
        <v>180000</v>
      </c>
      <c r="J482" s="19">
        <v>0.19</v>
      </c>
      <c r="K482" s="16" t="s">
        <v>235</v>
      </c>
      <c r="L482" s="16" t="s">
        <v>38</v>
      </c>
      <c r="M482" s="16" t="s">
        <v>2403</v>
      </c>
      <c r="N482" s="16" t="s">
        <v>2404</v>
      </c>
    </row>
    <row r="483" spans="1:14" ht="20.100000000000001" customHeight="1" x14ac:dyDescent="0.25">
      <c r="A483" s="15" t="s">
        <v>2405</v>
      </c>
      <c r="B483" s="16" t="s">
        <v>89</v>
      </c>
      <c r="C483" s="15">
        <v>8402306</v>
      </c>
      <c r="D483" s="16" t="s">
        <v>34</v>
      </c>
      <c r="E483" s="15" t="s">
        <v>2406</v>
      </c>
      <c r="F483" s="21" t="str">
        <f>HYPERLINK("https://psearch.kitsapgov.com/webappa/index.html?parcelID=1737899&amp;Theme=Imagery","1737899")</f>
        <v>1737899</v>
      </c>
      <c r="G483" s="16" t="s">
        <v>2407</v>
      </c>
      <c r="H483" s="17">
        <v>42898</v>
      </c>
      <c r="I483" s="18">
        <v>150000</v>
      </c>
      <c r="J483" s="19">
        <v>0.08</v>
      </c>
      <c r="K483" s="16" t="s">
        <v>1597</v>
      </c>
      <c r="L483" s="16" t="s">
        <v>20</v>
      </c>
      <c r="M483" s="16" t="s">
        <v>2408</v>
      </c>
      <c r="N483" s="16" t="s">
        <v>2409</v>
      </c>
    </row>
    <row r="484" spans="1:14" ht="20.100000000000001" customHeight="1" x14ac:dyDescent="0.25">
      <c r="A484" s="15" t="s">
        <v>2410</v>
      </c>
      <c r="B484" s="16" t="s">
        <v>1109</v>
      </c>
      <c r="C484" s="15">
        <v>8401104</v>
      </c>
      <c r="D484" s="16" t="s">
        <v>144</v>
      </c>
      <c r="E484" s="15" t="s">
        <v>2411</v>
      </c>
      <c r="F484" s="21" t="str">
        <f>HYPERLINK("https://psearch.kitsapgov.com/webappa/index.html?parcelID=1116581&amp;Theme=Imagery","1116581")</f>
        <v>1116581</v>
      </c>
      <c r="G484" s="16" t="s">
        <v>2412</v>
      </c>
      <c r="H484" s="17">
        <v>42899</v>
      </c>
      <c r="I484" s="18">
        <v>1000000</v>
      </c>
      <c r="J484" s="19">
        <v>1.36</v>
      </c>
      <c r="K484" s="16" t="s">
        <v>194</v>
      </c>
      <c r="L484" s="16" t="s">
        <v>20</v>
      </c>
      <c r="M484" s="16" t="s">
        <v>2413</v>
      </c>
      <c r="N484" s="16" t="s">
        <v>2414</v>
      </c>
    </row>
    <row r="485" spans="1:14" ht="20.100000000000001" customHeight="1" x14ac:dyDescent="0.25">
      <c r="A485" s="15" t="s">
        <v>2415</v>
      </c>
      <c r="B485" s="16" t="s">
        <v>442</v>
      </c>
      <c r="C485" s="15">
        <v>8400202</v>
      </c>
      <c r="D485" s="16" t="s">
        <v>158</v>
      </c>
      <c r="E485" s="15" t="s">
        <v>2416</v>
      </c>
      <c r="F485" s="21" t="str">
        <f>HYPERLINK("https://psearch.kitsapgov.com/webappa/index.html?parcelID=2607646&amp;Theme=Imagery","2607646")</f>
        <v>2607646</v>
      </c>
      <c r="G485" s="16" t="s">
        <v>2417</v>
      </c>
      <c r="H485" s="17">
        <v>42915</v>
      </c>
      <c r="I485" s="18">
        <v>2010000</v>
      </c>
      <c r="J485" s="19">
        <v>0.65</v>
      </c>
      <c r="K485" s="16" t="s">
        <v>100</v>
      </c>
      <c r="L485" s="16" t="s">
        <v>38</v>
      </c>
      <c r="M485" s="16" t="s">
        <v>2170</v>
      </c>
      <c r="N485" s="16" t="s">
        <v>2418</v>
      </c>
    </row>
    <row r="486" spans="1:14" ht="20.100000000000001" customHeight="1" x14ac:dyDescent="0.25">
      <c r="A486" s="15" t="s">
        <v>2419</v>
      </c>
      <c r="B486" s="16" t="s">
        <v>49</v>
      </c>
      <c r="C486" s="15">
        <v>8402306</v>
      </c>
      <c r="D486" s="16" t="s">
        <v>34</v>
      </c>
      <c r="E486" s="15" t="s">
        <v>1089</v>
      </c>
      <c r="F486" s="21" t="str">
        <f>HYPERLINK("https://psearch.kitsapgov.com/webappa/index.html?parcelID=1738327&amp;Theme=Imagery","1738327")</f>
        <v>1738327</v>
      </c>
      <c r="G486" s="16" t="s">
        <v>1090</v>
      </c>
      <c r="H486" s="17">
        <v>42913</v>
      </c>
      <c r="I486" s="18">
        <v>140000</v>
      </c>
      <c r="J486" s="19">
        <v>0.17</v>
      </c>
      <c r="K486" s="16" t="s">
        <v>583</v>
      </c>
      <c r="L486" s="16" t="s">
        <v>79</v>
      </c>
      <c r="M486" s="16" t="s">
        <v>1092</v>
      </c>
      <c r="N486" s="16" t="s">
        <v>2420</v>
      </c>
    </row>
    <row r="487" spans="1:14" ht="20.100000000000001" customHeight="1" x14ac:dyDescent="0.25">
      <c r="A487" s="15" t="s">
        <v>2421</v>
      </c>
      <c r="B487" s="16" t="s">
        <v>57</v>
      </c>
      <c r="C487" s="15">
        <v>8402307</v>
      </c>
      <c r="D487" s="16" t="s">
        <v>151</v>
      </c>
      <c r="E487" s="15" t="s">
        <v>2422</v>
      </c>
      <c r="F487" s="21" t="str">
        <f>HYPERLINK("https://psearch.kitsapgov.com/webappa/index.html?parcelID=1040237&amp;Theme=Imagery","1040237")</f>
        <v>1040237</v>
      </c>
      <c r="G487" s="16" t="s">
        <v>2423</v>
      </c>
      <c r="H487" s="17">
        <v>42915</v>
      </c>
      <c r="I487" s="18">
        <v>90000</v>
      </c>
      <c r="J487" s="19">
        <v>0.54</v>
      </c>
      <c r="K487" s="16" t="s">
        <v>371</v>
      </c>
      <c r="L487" s="16" t="s">
        <v>38</v>
      </c>
      <c r="M487" s="16" t="s">
        <v>2424</v>
      </c>
      <c r="N487" s="16" t="s">
        <v>2425</v>
      </c>
    </row>
    <row r="488" spans="1:14" ht="20.100000000000001" customHeight="1" x14ac:dyDescent="0.25">
      <c r="A488" s="15" t="s">
        <v>2426</v>
      </c>
      <c r="B488" s="16" t="s">
        <v>286</v>
      </c>
      <c r="C488" s="15">
        <v>8303660</v>
      </c>
      <c r="D488" s="16" t="s">
        <v>313</v>
      </c>
      <c r="E488" s="15" t="s">
        <v>2427</v>
      </c>
      <c r="F488" s="21" t="str">
        <f>HYPERLINK("https://psearch.kitsapgov.com/webappa/index.html?parcelID=1882612&amp;Theme=Imagery","1882612")</f>
        <v>1882612</v>
      </c>
      <c r="G488" s="16" t="s">
        <v>2428</v>
      </c>
      <c r="H488" s="17">
        <v>42919</v>
      </c>
      <c r="I488" s="18">
        <v>62000</v>
      </c>
      <c r="J488" s="19">
        <v>0</v>
      </c>
      <c r="L488" s="16" t="s">
        <v>38</v>
      </c>
      <c r="M488" s="16" t="s">
        <v>2429</v>
      </c>
      <c r="N488" s="16" t="s">
        <v>2430</v>
      </c>
    </row>
    <row r="489" spans="1:14" ht="20.100000000000001" customHeight="1" x14ac:dyDescent="0.25">
      <c r="A489" s="15" t="s">
        <v>2431</v>
      </c>
      <c r="B489" s="16" t="s">
        <v>104</v>
      </c>
      <c r="C489" s="15">
        <v>9402395</v>
      </c>
      <c r="D489" s="16" t="s">
        <v>580</v>
      </c>
      <c r="E489" s="15" t="s">
        <v>2049</v>
      </c>
      <c r="F489" s="21" t="str">
        <f>HYPERLINK("https://psearch.kitsapgov.com/webappa/index.html?parcelID=1501931&amp;Theme=Imagery","1501931")</f>
        <v>1501931</v>
      </c>
      <c r="G489" s="16" t="s">
        <v>2050</v>
      </c>
      <c r="H489" s="17">
        <v>42915</v>
      </c>
      <c r="I489" s="18">
        <v>321000</v>
      </c>
      <c r="J489" s="19">
        <v>0.22</v>
      </c>
      <c r="K489" s="16" t="s">
        <v>1373</v>
      </c>
      <c r="L489" s="16" t="s">
        <v>20</v>
      </c>
      <c r="M489" s="16" t="s">
        <v>2143</v>
      </c>
      <c r="N489" s="16" t="s">
        <v>2432</v>
      </c>
    </row>
    <row r="490" spans="1:14" ht="20.100000000000001" customHeight="1" x14ac:dyDescent="0.25">
      <c r="A490" s="15" t="s">
        <v>2433</v>
      </c>
      <c r="B490" s="16" t="s">
        <v>89</v>
      </c>
      <c r="C490" s="15">
        <v>8100510</v>
      </c>
      <c r="D490" s="16" t="s">
        <v>401</v>
      </c>
      <c r="E490" s="15" t="s">
        <v>2434</v>
      </c>
      <c r="F490" s="21" t="str">
        <f>HYPERLINK("https://psearch.kitsapgov.com/webappa/index.html?parcelID=1438134&amp;Theme=Imagery","1438134")</f>
        <v>1438134</v>
      </c>
      <c r="G490" s="16" t="s">
        <v>2435</v>
      </c>
      <c r="H490" s="17">
        <v>42930</v>
      </c>
      <c r="I490" s="18">
        <v>125000</v>
      </c>
      <c r="J490" s="19">
        <v>0.14000000000000001</v>
      </c>
      <c r="K490" s="16" t="s">
        <v>28</v>
      </c>
      <c r="L490" s="16" t="s">
        <v>38</v>
      </c>
      <c r="M490" s="16" t="s">
        <v>2436</v>
      </c>
      <c r="N490" s="16" t="s">
        <v>2437</v>
      </c>
    </row>
    <row r="491" spans="1:14" ht="20.100000000000001" customHeight="1" x14ac:dyDescent="0.25">
      <c r="A491" s="15" t="s">
        <v>2438</v>
      </c>
      <c r="B491" s="16" t="s">
        <v>688</v>
      </c>
      <c r="C491" s="15">
        <v>8400202</v>
      </c>
      <c r="D491" s="16" t="s">
        <v>158</v>
      </c>
      <c r="E491" s="15" t="s">
        <v>2439</v>
      </c>
      <c r="F491" s="21" t="str">
        <f>HYPERLINK("https://psearch.kitsapgov.com/webappa/index.html?parcelID=1329556&amp;Theme=Imagery","1329556")</f>
        <v>1329556</v>
      </c>
      <c r="G491" s="16" t="s">
        <v>2440</v>
      </c>
      <c r="H491" s="17">
        <v>42933</v>
      </c>
      <c r="I491" s="18">
        <v>975000</v>
      </c>
      <c r="J491" s="19">
        <v>1.95</v>
      </c>
      <c r="K491" s="16" t="s">
        <v>100</v>
      </c>
      <c r="L491" s="16" t="s">
        <v>20</v>
      </c>
      <c r="M491" s="16" t="s">
        <v>2441</v>
      </c>
      <c r="N491" s="16" t="s">
        <v>2055</v>
      </c>
    </row>
    <row r="492" spans="1:14" ht="20.100000000000001" customHeight="1" x14ac:dyDescent="0.25">
      <c r="A492" s="15" t="s">
        <v>2442</v>
      </c>
      <c r="B492" s="16" t="s">
        <v>124</v>
      </c>
      <c r="C492" s="15">
        <v>9100541</v>
      </c>
      <c r="D492" s="16" t="s">
        <v>215</v>
      </c>
      <c r="E492" s="15" t="s">
        <v>2443</v>
      </c>
      <c r="F492" s="21" t="str">
        <f>HYPERLINK("https://psearch.kitsapgov.com/webappa/index.html?parcelID=1692417&amp;Theme=Imagery","1692417")</f>
        <v>1692417</v>
      </c>
      <c r="G492" s="16" t="s">
        <v>2444</v>
      </c>
      <c r="H492" s="17">
        <v>42933</v>
      </c>
      <c r="I492" s="18">
        <v>370000</v>
      </c>
      <c r="J492" s="19">
        <v>0.24</v>
      </c>
      <c r="K492" s="16" t="s">
        <v>173</v>
      </c>
      <c r="L492" s="16" t="s">
        <v>38</v>
      </c>
      <c r="M492" s="16" t="s">
        <v>2445</v>
      </c>
      <c r="N492" s="16" t="s">
        <v>2446</v>
      </c>
    </row>
    <row r="493" spans="1:14" ht="20.100000000000001" customHeight="1" x14ac:dyDescent="0.25">
      <c r="A493" s="15" t="s">
        <v>2447</v>
      </c>
      <c r="B493" s="16" t="s">
        <v>96</v>
      </c>
      <c r="C493" s="15">
        <v>8303601</v>
      </c>
      <c r="D493" s="16" t="s">
        <v>50</v>
      </c>
      <c r="E493" s="15" t="s">
        <v>2448</v>
      </c>
      <c r="F493" s="21" t="str">
        <f>HYPERLINK("https://psearch.kitsapgov.com/webappa/index.html?parcelID=2059806&amp;Theme=Imagery","2059806")</f>
        <v>2059806</v>
      </c>
      <c r="G493" s="16" t="s">
        <v>2449</v>
      </c>
      <c r="H493" s="17">
        <v>42930</v>
      </c>
      <c r="I493" s="18">
        <v>1050000</v>
      </c>
      <c r="J493" s="19">
        <v>0.41</v>
      </c>
      <c r="K493" s="16" t="s">
        <v>205</v>
      </c>
      <c r="L493" s="16" t="s">
        <v>79</v>
      </c>
      <c r="M493" s="16" t="s">
        <v>2450</v>
      </c>
      <c r="N493" s="16" t="s">
        <v>2451</v>
      </c>
    </row>
    <row r="494" spans="1:14" ht="20.100000000000001" customHeight="1" x14ac:dyDescent="0.25">
      <c r="A494" s="15" t="s">
        <v>2452</v>
      </c>
      <c r="B494" s="16" t="s">
        <v>57</v>
      </c>
      <c r="C494" s="15">
        <v>8100502</v>
      </c>
      <c r="D494" s="16" t="s">
        <v>67</v>
      </c>
      <c r="E494" s="15" t="s">
        <v>2453</v>
      </c>
      <c r="F494" s="21" t="str">
        <f>HYPERLINK("https://psearch.kitsapgov.com/webappa/index.html?parcelID=1155548&amp;Theme=Imagery","1155548")</f>
        <v>1155548</v>
      </c>
      <c r="G494" s="16" t="s">
        <v>2454</v>
      </c>
      <c r="H494" s="17">
        <v>42927</v>
      </c>
      <c r="I494" s="18">
        <v>332000</v>
      </c>
      <c r="J494" s="19">
        <v>4.78</v>
      </c>
      <c r="K494" s="16" t="s">
        <v>70</v>
      </c>
      <c r="L494" s="16" t="s">
        <v>38</v>
      </c>
      <c r="M494" s="16" t="s">
        <v>2455</v>
      </c>
      <c r="N494" s="16" t="s">
        <v>2456</v>
      </c>
    </row>
    <row r="495" spans="1:14" ht="20.100000000000001" customHeight="1" x14ac:dyDescent="0.25">
      <c r="A495" s="15" t="s">
        <v>2457</v>
      </c>
      <c r="B495" s="16" t="s">
        <v>286</v>
      </c>
      <c r="C495" s="15">
        <v>8303660</v>
      </c>
      <c r="D495" s="16" t="s">
        <v>313</v>
      </c>
      <c r="E495" s="15" t="s">
        <v>2458</v>
      </c>
      <c r="F495" s="21" t="str">
        <f>HYPERLINK("https://psearch.kitsapgov.com/webappa/index.html?parcelID=1881754&amp;Theme=Imagery","1881754")</f>
        <v>1881754</v>
      </c>
      <c r="G495" s="16" t="s">
        <v>2459</v>
      </c>
      <c r="H495" s="17">
        <v>42926</v>
      </c>
      <c r="I495" s="18">
        <v>133000</v>
      </c>
      <c r="J495" s="19">
        <v>0</v>
      </c>
      <c r="L495" s="16" t="s">
        <v>290</v>
      </c>
      <c r="M495" s="16" t="s">
        <v>2460</v>
      </c>
      <c r="N495" s="16" t="s">
        <v>2461</v>
      </c>
    </row>
    <row r="496" spans="1:14" ht="20.100000000000001" customHeight="1" x14ac:dyDescent="0.25">
      <c r="A496" s="15" t="s">
        <v>2462</v>
      </c>
      <c r="B496" s="16" t="s">
        <v>124</v>
      </c>
      <c r="C496" s="15">
        <v>9402390</v>
      </c>
      <c r="D496" s="16" t="s">
        <v>271</v>
      </c>
      <c r="E496" s="15" t="s">
        <v>2463</v>
      </c>
      <c r="F496" s="21" t="str">
        <f>HYPERLINK("https://psearch.kitsapgov.com/webappa/index.html?parcelID=1038926&amp;Theme=Imagery","1038926")</f>
        <v>1038926</v>
      </c>
      <c r="G496" s="16" t="s">
        <v>2464</v>
      </c>
      <c r="H496" s="17">
        <v>42935</v>
      </c>
      <c r="I496" s="18">
        <v>487000</v>
      </c>
      <c r="J496" s="19">
        <v>0.25</v>
      </c>
      <c r="K496" s="16" t="s">
        <v>274</v>
      </c>
      <c r="L496" s="16" t="s">
        <v>38</v>
      </c>
      <c r="M496" s="16" t="s">
        <v>2465</v>
      </c>
      <c r="N496" s="16" t="s">
        <v>2466</v>
      </c>
    </row>
    <row r="497" spans="1:14" ht="20.100000000000001" customHeight="1" x14ac:dyDescent="0.25">
      <c r="A497" s="15" t="s">
        <v>2467</v>
      </c>
      <c r="B497" s="16" t="s">
        <v>57</v>
      </c>
      <c r="C497" s="15">
        <v>8100505</v>
      </c>
      <c r="D497" s="16" t="s">
        <v>17</v>
      </c>
      <c r="E497" s="15" t="s">
        <v>2468</v>
      </c>
      <c r="F497" s="21" t="str">
        <f>HYPERLINK("https://psearch.kitsapgov.com/webappa/index.html?parcelID=1490846&amp;Theme=Imagery","1490846")</f>
        <v>1490846</v>
      </c>
      <c r="G497" s="16" t="s">
        <v>2469</v>
      </c>
      <c r="H497" s="17">
        <v>42937</v>
      </c>
      <c r="I497" s="18">
        <v>60000</v>
      </c>
      <c r="J497" s="19">
        <v>0.45</v>
      </c>
      <c r="K497" s="16" t="s">
        <v>457</v>
      </c>
      <c r="L497" s="16" t="s">
        <v>1204</v>
      </c>
      <c r="M497" s="16" t="s">
        <v>1345</v>
      </c>
      <c r="N497" s="16" t="s">
        <v>2470</v>
      </c>
    </row>
    <row r="498" spans="1:14" ht="20.100000000000001" customHeight="1" x14ac:dyDescent="0.25">
      <c r="A498" s="15" t="s">
        <v>2471</v>
      </c>
      <c r="B498" s="16" t="s">
        <v>104</v>
      </c>
      <c r="C498" s="15">
        <v>9100541</v>
      </c>
      <c r="D498" s="16" t="s">
        <v>215</v>
      </c>
      <c r="E498" s="15" t="s">
        <v>2472</v>
      </c>
      <c r="F498" s="21" t="str">
        <f>HYPERLINK("https://psearch.kitsapgov.com/webappa/index.html?parcelID=2441046&amp;Theme=Imagery","2441046")</f>
        <v>2441046</v>
      </c>
      <c r="G498" s="16" t="s">
        <v>2473</v>
      </c>
      <c r="H498" s="17">
        <v>42935</v>
      </c>
      <c r="I498" s="18">
        <v>162000</v>
      </c>
      <c r="J498" s="19">
        <v>0.09</v>
      </c>
      <c r="K498" s="16" t="s">
        <v>235</v>
      </c>
      <c r="L498" s="16" t="s">
        <v>129</v>
      </c>
      <c r="M498" s="16" t="s">
        <v>2474</v>
      </c>
      <c r="N498" s="16" t="s">
        <v>2475</v>
      </c>
    </row>
    <row r="499" spans="1:14" ht="20.100000000000001" customHeight="1" x14ac:dyDescent="0.25">
      <c r="A499" s="15" t="s">
        <v>2476</v>
      </c>
      <c r="B499" s="16" t="s">
        <v>442</v>
      </c>
      <c r="C499" s="15">
        <v>8401508</v>
      </c>
      <c r="D499" s="16" t="s">
        <v>90</v>
      </c>
      <c r="E499" s="15" t="s">
        <v>2477</v>
      </c>
      <c r="F499" s="21" t="str">
        <f>HYPERLINK("https://psearch.kitsapgov.com/webappa/index.html?parcelID=2560662&amp;Theme=Imagery","2560662")</f>
        <v>2560662</v>
      </c>
      <c r="G499" s="16" t="s">
        <v>2478</v>
      </c>
      <c r="H499" s="17">
        <v>42919</v>
      </c>
      <c r="I499" s="18">
        <v>530000</v>
      </c>
      <c r="J499" s="19">
        <v>0.18</v>
      </c>
      <c r="K499" s="16" t="s">
        <v>78</v>
      </c>
      <c r="L499" s="16" t="s">
        <v>719</v>
      </c>
      <c r="M499" s="16" t="s">
        <v>2479</v>
      </c>
      <c r="N499" s="16" t="s">
        <v>2480</v>
      </c>
    </row>
    <row r="500" spans="1:14" ht="20.100000000000001" customHeight="1" x14ac:dyDescent="0.25">
      <c r="A500" s="15" t="s">
        <v>2481</v>
      </c>
      <c r="B500" s="16" t="s">
        <v>49</v>
      </c>
      <c r="C500" s="15">
        <v>8303601</v>
      </c>
      <c r="D500" s="16" t="s">
        <v>50</v>
      </c>
      <c r="E500" s="15" t="s">
        <v>2482</v>
      </c>
      <c r="F500" s="21" t="str">
        <f>HYPERLINK("https://psearch.kitsapgov.com/webappa/index.html?parcelID=1311000&amp;Theme=Imagery","1311000")</f>
        <v>1311000</v>
      </c>
      <c r="G500" s="16" t="s">
        <v>2483</v>
      </c>
      <c r="H500" s="17">
        <v>42940</v>
      </c>
      <c r="I500" s="18">
        <v>787000</v>
      </c>
      <c r="J500" s="19">
        <v>0.25</v>
      </c>
      <c r="K500" s="16" t="s">
        <v>326</v>
      </c>
      <c r="L500" s="16" t="s">
        <v>38</v>
      </c>
      <c r="M500" s="16" t="s">
        <v>2484</v>
      </c>
      <c r="N500" s="16" t="s">
        <v>2485</v>
      </c>
    </row>
    <row r="501" spans="1:14" ht="20.100000000000001" customHeight="1" x14ac:dyDescent="0.25">
      <c r="A501" s="15" t="s">
        <v>2486</v>
      </c>
      <c r="B501" s="16" t="s">
        <v>393</v>
      </c>
      <c r="C501" s="15">
        <v>9402390</v>
      </c>
      <c r="D501" s="16" t="s">
        <v>271</v>
      </c>
      <c r="E501" s="15" t="s">
        <v>2487</v>
      </c>
      <c r="F501" s="21" t="str">
        <f>HYPERLINK("https://psearch.kitsapgov.com/webappa/index.html?parcelID=1981299&amp;Theme=Imagery","1981299")</f>
        <v>1981299</v>
      </c>
      <c r="G501" s="16" t="s">
        <v>2488</v>
      </c>
      <c r="H501" s="17">
        <v>42943</v>
      </c>
      <c r="I501" s="18">
        <v>8000000</v>
      </c>
      <c r="J501" s="19">
        <v>3.36</v>
      </c>
      <c r="K501" s="16" t="s">
        <v>397</v>
      </c>
      <c r="L501" s="16" t="s">
        <v>20</v>
      </c>
      <c r="M501" s="16" t="s">
        <v>2489</v>
      </c>
      <c r="N501" s="16" t="s">
        <v>2490</v>
      </c>
    </row>
    <row r="502" spans="1:14" ht="20.100000000000001" customHeight="1" x14ac:dyDescent="0.25">
      <c r="A502" s="15" t="s">
        <v>2491</v>
      </c>
      <c r="B502" s="16" t="s">
        <v>318</v>
      </c>
      <c r="C502" s="15">
        <v>8402391</v>
      </c>
      <c r="D502" s="16" t="s">
        <v>227</v>
      </c>
      <c r="E502" s="15" t="s">
        <v>2492</v>
      </c>
      <c r="F502" s="21" t="str">
        <f>HYPERLINK("https://psearch.kitsapgov.com/webappa/index.html?parcelID=2297703&amp;Theme=Imagery","2297703")</f>
        <v>2297703</v>
      </c>
      <c r="G502" s="16" t="s">
        <v>2493</v>
      </c>
      <c r="H502" s="17">
        <v>42944</v>
      </c>
      <c r="I502" s="18">
        <v>45000</v>
      </c>
      <c r="J502" s="19">
        <v>0</v>
      </c>
      <c r="L502" s="16" t="s">
        <v>290</v>
      </c>
      <c r="M502" s="16" t="s">
        <v>2494</v>
      </c>
      <c r="N502" s="16" t="s">
        <v>2495</v>
      </c>
    </row>
    <row r="503" spans="1:14" ht="20.100000000000001" customHeight="1" x14ac:dyDescent="0.25">
      <c r="A503" s="15" t="s">
        <v>2496</v>
      </c>
      <c r="B503" s="16" t="s">
        <v>96</v>
      </c>
      <c r="C503" s="15">
        <v>8402307</v>
      </c>
      <c r="D503" s="16" t="s">
        <v>151</v>
      </c>
      <c r="E503" s="15" t="s">
        <v>2497</v>
      </c>
      <c r="F503" s="21" t="str">
        <f>HYPERLINK("https://psearch.kitsapgov.com/webappa/index.html?parcelID=1853340&amp;Theme=Imagery","1853340")</f>
        <v>1853340</v>
      </c>
      <c r="G503" s="16" t="s">
        <v>2498</v>
      </c>
      <c r="H503" s="17">
        <v>42947</v>
      </c>
      <c r="I503" s="18">
        <v>200000</v>
      </c>
      <c r="J503" s="19">
        <v>1.04</v>
      </c>
      <c r="K503" s="16" t="s">
        <v>194</v>
      </c>
      <c r="L503" s="16" t="s">
        <v>20</v>
      </c>
      <c r="M503" s="16" t="s">
        <v>2499</v>
      </c>
      <c r="N503" s="16" t="s">
        <v>2500</v>
      </c>
    </row>
    <row r="504" spans="1:14" ht="20.100000000000001" customHeight="1" x14ac:dyDescent="0.25">
      <c r="A504" s="15" t="s">
        <v>2501</v>
      </c>
      <c r="B504" s="16" t="s">
        <v>124</v>
      </c>
      <c r="C504" s="15">
        <v>9402390</v>
      </c>
      <c r="D504" s="16" t="s">
        <v>271</v>
      </c>
      <c r="E504" s="15" t="s">
        <v>2502</v>
      </c>
      <c r="F504" s="21" t="str">
        <f>HYPERLINK("https://psearch.kitsapgov.com/webappa/index.html?parcelID=1039072&amp;Theme=Imagery","1039072")</f>
        <v>1039072</v>
      </c>
      <c r="G504" s="16" t="s">
        <v>2503</v>
      </c>
      <c r="H504" s="17">
        <v>42940</v>
      </c>
      <c r="I504" s="18">
        <v>487000</v>
      </c>
      <c r="J504" s="19">
        <v>0.25</v>
      </c>
      <c r="K504" s="16" t="s">
        <v>274</v>
      </c>
      <c r="L504" s="16" t="s">
        <v>38</v>
      </c>
      <c r="M504" s="16" t="s">
        <v>2465</v>
      </c>
      <c r="N504" s="16" t="s">
        <v>2504</v>
      </c>
    </row>
    <row r="505" spans="1:14" ht="20.100000000000001" customHeight="1" x14ac:dyDescent="0.25">
      <c r="A505" s="15" t="s">
        <v>2505</v>
      </c>
      <c r="B505" s="16" t="s">
        <v>688</v>
      </c>
      <c r="C505" s="15">
        <v>8400302</v>
      </c>
      <c r="D505" s="16" t="s">
        <v>133</v>
      </c>
      <c r="E505" s="15" t="s">
        <v>2506</v>
      </c>
      <c r="F505" s="21" t="str">
        <f>HYPERLINK("https://psearch.kitsapgov.com/webappa/index.html?parcelID=1407162&amp;Theme=Imagery","1407162")</f>
        <v>1407162</v>
      </c>
      <c r="G505" s="16" t="s">
        <v>2507</v>
      </c>
      <c r="H505" s="17">
        <v>42947</v>
      </c>
      <c r="I505" s="18">
        <v>2270000</v>
      </c>
      <c r="J505" s="19">
        <v>1.1100000000000001</v>
      </c>
      <c r="K505" s="16" t="s">
        <v>309</v>
      </c>
      <c r="L505" s="16" t="s">
        <v>38</v>
      </c>
      <c r="M505" s="16" t="s">
        <v>2508</v>
      </c>
      <c r="N505" s="16" t="s">
        <v>2509</v>
      </c>
    </row>
    <row r="506" spans="1:14" ht="20.100000000000001" customHeight="1" x14ac:dyDescent="0.25">
      <c r="A506" s="15" t="s">
        <v>2510</v>
      </c>
      <c r="B506" s="16" t="s">
        <v>214</v>
      </c>
      <c r="C506" s="15">
        <v>9100521</v>
      </c>
      <c r="D506" s="16" t="s">
        <v>1393</v>
      </c>
      <c r="E506" s="15" t="s">
        <v>2511</v>
      </c>
      <c r="F506" s="21" t="str">
        <f>HYPERLINK("https://psearch.kitsapgov.com/webappa/index.html?parcelID=1423508&amp;Theme=Imagery","1423508")</f>
        <v>1423508</v>
      </c>
      <c r="G506" s="16" t="s">
        <v>2512</v>
      </c>
      <c r="H506" s="17">
        <v>42950</v>
      </c>
      <c r="I506" s="18">
        <v>295000</v>
      </c>
      <c r="J506" s="19">
        <v>0.14000000000000001</v>
      </c>
      <c r="K506" s="16" t="s">
        <v>296</v>
      </c>
      <c r="L506" s="16" t="s">
        <v>20</v>
      </c>
      <c r="M506" s="16" t="s">
        <v>2513</v>
      </c>
      <c r="N506" s="16" t="s">
        <v>2514</v>
      </c>
    </row>
    <row r="507" spans="1:14" ht="20.100000000000001" customHeight="1" x14ac:dyDescent="0.25">
      <c r="A507" s="15" t="s">
        <v>2515</v>
      </c>
      <c r="B507" s="16" t="s">
        <v>143</v>
      </c>
      <c r="C507" s="15">
        <v>8401508</v>
      </c>
      <c r="D507" s="16" t="s">
        <v>90</v>
      </c>
      <c r="E507" s="15" t="s">
        <v>2516</v>
      </c>
      <c r="F507" s="21" t="str">
        <f>HYPERLINK("https://psearch.kitsapgov.com/webappa/index.html?parcelID=1256361&amp;Theme=Imagery","1256361")</f>
        <v>1256361</v>
      </c>
      <c r="G507" s="16" t="s">
        <v>2517</v>
      </c>
      <c r="H507" s="17">
        <v>42949</v>
      </c>
      <c r="I507" s="18">
        <v>150000</v>
      </c>
      <c r="J507" s="19">
        <v>3.24</v>
      </c>
      <c r="K507" s="16" t="s">
        <v>78</v>
      </c>
      <c r="L507" s="16" t="s">
        <v>38</v>
      </c>
      <c r="M507" s="16" t="s">
        <v>2518</v>
      </c>
      <c r="N507" s="16" t="s">
        <v>2519</v>
      </c>
    </row>
    <row r="508" spans="1:14" ht="20.100000000000001" customHeight="1" x14ac:dyDescent="0.25">
      <c r="A508" s="15" t="s">
        <v>2520</v>
      </c>
      <c r="B508" s="16" t="s">
        <v>286</v>
      </c>
      <c r="C508" s="15">
        <v>8303660</v>
      </c>
      <c r="D508" s="16" t="s">
        <v>313</v>
      </c>
      <c r="E508" s="15" t="s">
        <v>491</v>
      </c>
      <c r="F508" s="21" t="str">
        <f>HYPERLINK("https://psearch.kitsapgov.com/webappa/index.html?parcelID=1882430&amp;Theme=Imagery","1882430")</f>
        <v>1882430</v>
      </c>
      <c r="G508" s="16" t="s">
        <v>492</v>
      </c>
      <c r="H508" s="17">
        <v>42952</v>
      </c>
      <c r="I508" s="18">
        <v>130000</v>
      </c>
      <c r="J508" s="19">
        <v>0</v>
      </c>
      <c r="L508" s="16" t="s">
        <v>290</v>
      </c>
      <c r="M508" s="16" t="s">
        <v>494</v>
      </c>
      <c r="N508" s="16" t="s">
        <v>2521</v>
      </c>
    </row>
    <row r="509" spans="1:14" ht="20.100000000000001" customHeight="1" x14ac:dyDescent="0.25">
      <c r="A509" s="15" t="s">
        <v>2522</v>
      </c>
      <c r="B509" s="16" t="s">
        <v>89</v>
      </c>
      <c r="C509" s="15">
        <v>8100501</v>
      </c>
      <c r="D509" s="16" t="s">
        <v>117</v>
      </c>
      <c r="E509" s="15" t="s">
        <v>2523</v>
      </c>
      <c r="F509" s="21" t="str">
        <f>HYPERLINK("https://psearch.kitsapgov.com/webappa/index.html?parcelID=1427962&amp;Theme=Imagery","1427962")</f>
        <v>1427962</v>
      </c>
      <c r="G509" s="16" t="s">
        <v>2524</v>
      </c>
      <c r="H509" s="17">
        <v>42954</v>
      </c>
      <c r="I509" s="18">
        <v>210000</v>
      </c>
      <c r="J509" s="19">
        <v>0.14000000000000001</v>
      </c>
      <c r="K509" s="16" t="s">
        <v>120</v>
      </c>
      <c r="L509" s="16" t="s">
        <v>38</v>
      </c>
      <c r="M509" s="16" t="s">
        <v>2525</v>
      </c>
      <c r="N509" s="16" t="s">
        <v>2526</v>
      </c>
    </row>
    <row r="510" spans="1:14" ht="20.100000000000001" customHeight="1" x14ac:dyDescent="0.25">
      <c r="A510" s="15" t="s">
        <v>2527</v>
      </c>
      <c r="B510" s="16" t="s">
        <v>602</v>
      </c>
      <c r="C510" s="15">
        <v>8400203</v>
      </c>
      <c r="D510" s="16" t="s">
        <v>97</v>
      </c>
      <c r="E510" s="15" t="s">
        <v>2528</v>
      </c>
      <c r="F510" s="21" t="str">
        <f>HYPERLINK("https://psearch.kitsapgov.com/webappa/index.html?parcelID=2513133&amp;Theme=Imagery","2513133")</f>
        <v>2513133</v>
      </c>
      <c r="G510" s="16" t="s">
        <v>2529</v>
      </c>
      <c r="H510" s="17">
        <v>42957</v>
      </c>
      <c r="I510" s="18">
        <v>162500</v>
      </c>
      <c r="J510" s="19">
        <v>0</v>
      </c>
      <c r="L510" s="16" t="s">
        <v>38</v>
      </c>
      <c r="M510" s="16" t="s">
        <v>2530</v>
      </c>
      <c r="N510" s="16" t="s">
        <v>2531</v>
      </c>
    </row>
    <row r="511" spans="1:14" ht="20.100000000000001" customHeight="1" x14ac:dyDescent="0.25">
      <c r="A511" s="15" t="s">
        <v>2532</v>
      </c>
      <c r="B511" s="16" t="s">
        <v>49</v>
      </c>
      <c r="C511" s="15">
        <v>9402395</v>
      </c>
      <c r="D511" s="16" t="s">
        <v>580</v>
      </c>
      <c r="E511" s="15" t="s">
        <v>2533</v>
      </c>
      <c r="F511" s="21" t="str">
        <f>HYPERLINK("https://psearch.kitsapgov.com/webappa/index.html?parcelID=1511831&amp;Theme=Imagery","1511831")</f>
        <v>1511831</v>
      </c>
      <c r="G511" s="16" t="s">
        <v>2534</v>
      </c>
      <c r="H511" s="17">
        <v>42961</v>
      </c>
      <c r="I511" s="18">
        <v>145000</v>
      </c>
      <c r="J511" s="19">
        <v>0.17</v>
      </c>
      <c r="K511" s="16" t="s">
        <v>583</v>
      </c>
      <c r="L511" s="16" t="s">
        <v>38</v>
      </c>
      <c r="M511" s="16" t="s">
        <v>2535</v>
      </c>
      <c r="N511" s="16" t="s">
        <v>2536</v>
      </c>
    </row>
    <row r="512" spans="1:14" ht="20.100000000000001" customHeight="1" x14ac:dyDescent="0.25">
      <c r="A512" s="15" t="s">
        <v>2537</v>
      </c>
      <c r="B512" s="16" t="s">
        <v>2103</v>
      </c>
      <c r="C512" s="15">
        <v>8401101</v>
      </c>
      <c r="D512" s="16" t="s">
        <v>185</v>
      </c>
      <c r="E512" s="15" t="s">
        <v>2538</v>
      </c>
      <c r="F512" s="21" t="str">
        <f>HYPERLINK("https://psearch.kitsapgov.com/webappa/index.html?parcelID=1239318&amp;Theme=Imagery","1239318")</f>
        <v>1239318</v>
      </c>
      <c r="G512" s="16" t="s">
        <v>2539</v>
      </c>
      <c r="H512" s="17">
        <v>42957</v>
      </c>
      <c r="I512" s="18">
        <v>5500000</v>
      </c>
      <c r="J512" s="19">
        <v>0.83</v>
      </c>
      <c r="K512" s="16" t="s">
        <v>188</v>
      </c>
      <c r="L512" s="16" t="s">
        <v>20</v>
      </c>
      <c r="M512" s="16" t="s">
        <v>2540</v>
      </c>
      <c r="N512" s="16" t="s">
        <v>2541</v>
      </c>
    </row>
    <row r="513" spans="1:14" ht="20.100000000000001" customHeight="1" x14ac:dyDescent="0.25">
      <c r="A513" s="15" t="s">
        <v>2542</v>
      </c>
      <c r="B513" s="16" t="s">
        <v>89</v>
      </c>
      <c r="C513" s="15">
        <v>8100506</v>
      </c>
      <c r="D513" s="16" t="s">
        <v>25</v>
      </c>
      <c r="E513" s="15" t="s">
        <v>2543</v>
      </c>
      <c r="F513" s="21" t="str">
        <f>HYPERLINK("https://psearch.kitsapgov.com/webappa/index.html?parcelID=2159879&amp;Theme=Imagery","2159879")</f>
        <v>2159879</v>
      </c>
      <c r="G513" s="16" t="s">
        <v>2544</v>
      </c>
      <c r="H513" s="17">
        <v>42963</v>
      </c>
      <c r="I513" s="18">
        <v>25000</v>
      </c>
      <c r="J513" s="19">
        <v>0.11</v>
      </c>
      <c r="K513" s="16" t="s">
        <v>85</v>
      </c>
      <c r="L513" s="16" t="s">
        <v>20</v>
      </c>
      <c r="M513" s="16" t="s">
        <v>2545</v>
      </c>
      <c r="N513" s="16" t="s">
        <v>2546</v>
      </c>
    </row>
    <row r="514" spans="1:14" ht="20.100000000000001" customHeight="1" x14ac:dyDescent="0.25">
      <c r="A514" s="15" t="s">
        <v>2547</v>
      </c>
      <c r="B514" s="16" t="s">
        <v>347</v>
      </c>
      <c r="C514" s="15">
        <v>8402307</v>
      </c>
      <c r="D514" s="16" t="s">
        <v>151</v>
      </c>
      <c r="E514" s="15" t="s">
        <v>2548</v>
      </c>
      <c r="F514" s="21" t="str">
        <f>HYPERLINK("https://psearch.kitsapgov.com/webappa/index.html?parcelID=1036177&amp;Theme=Imagery","1036177")</f>
        <v>1036177</v>
      </c>
      <c r="G514" s="16" t="s">
        <v>2549</v>
      </c>
      <c r="H514" s="17">
        <v>42968</v>
      </c>
      <c r="I514" s="18">
        <v>600000</v>
      </c>
      <c r="J514" s="19">
        <v>1.34</v>
      </c>
      <c r="K514" s="16" t="s">
        <v>333</v>
      </c>
      <c r="L514" s="16" t="s">
        <v>20</v>
      </c>
      <c r="M514" s="16" t="s">
        <v>2550</v>
      </c>
      <c r="N514" s="16" t="s">
        <v>2551</v>
      </c>
    </row>
    <row r="515" spans="1:14" ht="20.100000000000001" customHeight="1" x14ac:dyDescent="0.25">
      <c r="A515" s="15" t="s">
        <v>2552</v>
      </c>
      <c r="B515" s="16" t="s">
        <v>368</v>
      </c>
      <c r="C515" s="15">
        <v>8401101</v>
      </c>
      <c r="D515" s="16" t="s">
        <v>185</v>
      </c>
      <c r="E515" s="15" t="s">
        <v>2553</v>
      </c>
      <c r="F515" s="21" t="str">
        <f>HYPERLINK("https://psearch.kitsapgov.com/webappa/index.html?parcelID=2418002&amp;Theme=Imagery","2418002")</f>
        <v>2418002</v>
      </c>
      <c r="G515" s="16" t="s">
        <v>2554</v>
      </c>
      <c r="H515" s="17">
        <v>42965</v>
      </c>
      <c r="I515" s="18">
        <v>9600000</v>
      </c>
      <c r="J515" s="19">
        <v>1.73</v>
      </c>
      <c r="K515" s="16" t="s">
        <v>188</v>
      </c>
      <c r="L515" s="16" t="s">
        <v>38</v>
      </c>
      <c r="M515" s="16" t="s">
        <v>2555</v>
      </c>
      <c r="N515" s="16" t="s">
        <v>2556</v>
      </c>
    </row>
    <row r="516" spans="1:14" ht="20.100000000000001" customHeight="1" x14ac:dyDescent="0.25">
      <c r="A516" s="15" t="s">
        <v>2557</v>
      </c>
      <c r="B516" s="16" t="s">
        <v>1037</v>
      </c>
      <c r="C516" s="15">
        <v>8100501</v>
      </c>
      <c r="D516" s="16" t="s">
        <v>117</v>
      </c>
      <c r="E516" s="15" t="s">
        <v>1038</v>
      </c>
      <c r="F516" s="21" t="str">
        <f>HYPERLINK("https://psearch.kitsapgov.com/webappa/index.html?parcelID=1426675&amp;Theme=Imagery","1426675")</f>
        <v>1426675</v>
      </c>
      <c r="G516" s="16" t="s">
        <v>1039</v>
      </c>
      <c r="H516" s="17">
        <v>42976</v>
      </c>
      <c r="I516" s="18">
        <v>200000</v>
      </c>
      <c r="J516" s="19">
        <v>0.14000000000000001</v>
      </c>
      <c r="K516" s="16" t="s">
        <v>120</v>
      </c>
      <c r="L516" s="16" t="s">
        <v>246</v>
      </c>
      <c r="M516" s="16" t="s">
        <v>2558</v>
      </c>
      <c r="N516" s="16" t="s">
        <v>2559</v>
      </c>
    </row>
    <row r="517" spans="1:14" ht="20.100000000000001" customHeight="1" x14ac:dyDescent="0.25">
      <c r="A517" s="15" t="s">
        <v>2560</v>
      </c>
      <c r="B517" s="16" t="s">
        <v>124</v>
      </c>
      <c r="C517" s="15">
        <v>9100541</v>
      </c>
      <c r="D517" s="16" t="s">
        <v>215</v>
      </c>
      <c r="E517" s="15" t="s">
        <v>2561</v>
      </c>
      <c r="F517" s="21" t="str">
        <f>HYPERLINK("https://psearch.kitsapgov.com/webappa/index.html?parcelID=1436328&amp;Theme=Imagery","1436328")</f>
        <v>1436328</v>
      </c>
      <c r="G517" s="16" t="s">
        <v>2562</v>
      </c>
      <c r="H517" s="17">
        <v>42970</v>
      </c>
      <c r="I517" s="18">
        <v>435000</v>
      </c>
      <c r="J517" s="19">
        <v>0.12</v>
      </c>
      <c r="K517" s="16" t="s">
        <v>235</v>
      </c>
      <c r="L517" s="16" t="s">
        <v>38</v>
      </c>
      <c r="M517" s="16" t="s">
        <v>2563</v>
      </c>
      <c r="N517" s="16" t="s">
        <v>2564</v>
      </c>
    </row>
    <row r="518" spans="1:14" ht="20.100000000000001" customHeight="1" x14ac:dyDescent="0.25">
      <c r="A518" s="15" t="s">
        <v>2565</v>
      </c>
      <c r="B518" s="16" t="s">
        <v>265</v>
      </c>
      <c r="C518" s="15">
        <v>8100502</v>
      </c>
      <c r="D518" s="16" t="s">
        <v>67</v>
      </c>
      <c r="E518" s="15" t="s">
        <v>2566</v>
      </c>
      <c r="F518" s="21" t="str">
        <f>HYPERLINK("https://psearch.kitsapgov.com/webappa/index.html?parcelID=2568095&amp;Theme=Imagery","2568095")</f>
        <v>2568095</v>
      </c>
      <c r="G518" s="16" t="s">
        <v>2567</v>
      </c>
      <c r="H518" s="17">
        <v>42977</v>
      </c>
      <c r="I518" s="18">
        <v>525000</v>
      </c>
      <c r="J518" s="19">
        <v>0.79</v>
      </c>
      <c r="K518" s="16" t="s">
        <v>173</v>
      </c>
      <c r="L518" s="16" t="s">
        <v>20</v>
      </c>
      <c r="M518" s="16" t="s">
        <v>2568</v>
      </c>
      <c r="N518" s="16" t="s">
        <v>2569</v>
      </c>
    </row>
    <row r="519" spans="1:14" ht="20.100000000000001" customHeight="1" x14ac:dyDescent="0.25">
      <c r="A519" s="15" t="s">
        <v>2570</v>
      </c>
      <c r="B519" s="16" t="s">
        <v>49</v>
      </c>
      <c r="C519" s="15">
        <v>8402308</v>
      </c>
      <c r="D519" s="16" t="s">
        <v>75</v>
      </c>
      <c r="E519" s="15" t="s">
        <v>2571</v>
      </c>
      <c r="F519" s="21" t="str">
        <f>HYPERLINK("https://psearch.kitsapgov.com/webappa/index.html?parcelID=1169630&amp;Theme=Imagery","1169630")</f>
        <v>1169630</v>
      </c>
      <c r="G519" s="16" t="s">
        <v>2572</v>
      </c>
      <c r="H519" s="17">
        <v>42976</v>
      </c>
      <c r="I519" s="18">
        <v>136000</v>
      </c>
      <c r="J519" s="19">
        <v>0.84</v>
      </c>
      <c r="K519" s="16" t="s">
        <v>672</v>
      </c>
      <c r="L519" s="16" t="s">
        <v>20</v>
      </c>
      <c r="M519" s="16" t="s">
        <v>2573</v>
      </c>
      <c r="N519" s="16" t="s">
        <v>2574</v>
      </c>
    </row>
    <row r="520" spans="1:14" ht="20.100000000000001" customHeight="1" x14ac:dyDescent="0.25">
      <c r="A520" s="15" t="s">
        <v>2575</v>
      </c>
      <c r="B520" s="16" t="s">
        <v>66</v>
      </c>
      <c r="C520" s="15">
        <v>8402307</v>
      </c>
      <c r="D520" s="16" t="s">
        <v>151</v>
      </c>
      <c r="E520" s="15" t="s">
        <v>2576</v>
      </c>
      <c r="F520" s="21" t="str">
        <f>HYPERLINK("https://psearch.kitsapgov.com/webappa/index.html?parcelID=1040492&amp;Theme=Imagery","1040492")</f>
        <v>1040492</v>
      </c>
      <c r="G520" s="16" t="s">
        <v>2577</v>
      </c>
      <c r="H520" s="17">
        <v>42976</v>
      </c>
      <c r="I520" s="18">
        <v>1000000</v>
      </c>
      <c r="J520" s="19">
        <v>2.34</v>
      </c>
      <c r="K520" s="16" t="s">
        <v>154</v>
      </c>
      <c r="L520" s="16" t="s">
        <v>38</v>
      </c>
      <c r="M520" s="16" t="s">
        <v>155</v>
      </c>
      <c r="N520" s="16" t="s">
        <v>2578</v>
      </c>
    </row>
    <row r="521" spans="1:14" ht="20.100000000000001" customHeight="1" x14ac:dyDescent="0.25">
      <c r="A521" s="15" t="s">
        <v>2579</v>
      </c>
      <c r="B521" s="16" t="s">
        <v>33</v>
      </c>
      <c r="C521" s="15">
        <v>9400203</v>
      </c>
      <c r="D521" s="16" t="s">
        <v>42</v>
      </c>
      <c r="E521" s="15" t="s">
        <v>2580</v>
      </c>
      <c r="F521" s="21" t="str">
        <f>HYPERLINK("https://psearch.kitsapgov.com/webappa/index.html?parcelID=2460848&amp;Theme=Imagery","2460848")</f>
        <v>2460848</v>
      </c>
      <c r="G521" s="16" t="s">
        <v>1260</v>
      </c>
      <c r="H521" s="17">
        <v>42975</v>
      </c>
      <c r="I521" s="18">
        <v>405000</v>
      </c>
      <c r="J521" s="19">
        <v>0.04</v>
      </c>
      <c r="K521" s="16" t="s">
        <v>45</v>
      </c>
      <c r="L521" s="16" t="s">
        <v>38</v>
      </c>
      <c r="M521" s="16" t="s">
        <v>2581</v>
      </c>
      <c r="N521" s="16" t="s">
        <v>2582</v>
      </c>
    </row>
    <row r="522" spans="1:14" ht="20.100000000000001" customHeight="1" x14ac:dyDescent="0.25">
      <c r="A522" s="15" t="s">
        <v>2583</v>
      </c>
      <c r="B522" s="16" t="s">
        <v>49</v>
      </c>
      <c r="C522" s="15">
        <v>8100505</v>
      </c>
      <c r="D522" s="16" t="s">
        <v>17</v>
      </c>
      <c r="E522" s="15" t="s">
        <v>2584</v>
      </c>
      <c r="F522" s="21" t="str">
        <f>HYPERLINK("https://psearch.kitsapgov.com/webappa/index.html?parcelID=1490606&amp;Theme=Imagery","1490606")</f>
        <v>1490606</v>
      </c>
      <c r="G522" s="16" t="s">
        <v>2585</v>
      </c>
      <c r="H522" s="17">
        <v>42976</v>
      </c>
      <c r="I522" s="18">
        <v>234000</v>
      </c>
      <c r="J522" s="19">
        <v>0.16</v>
      </c>
      <c r="K522" s="16" t="s">
        <v>457</v>
      </c>
      <c r="L522" s="16" t="s">
        <v>372</v>
      </c>
      <c r="M522" s="16" t="s">
        <v>2586</v>
      </c>
      <c r="N522" s="16" t="s">
        <v>2587</v>
      </c>
    </row>
    <row r="523" spans="1:14" ht="20.100000000000001" customHeight="1" x14ac:dyDescent="0.25">
      <c r="A523" s="15" t="s">
        <v>2588</v>
      </c>
      <c r="B523" s="16" t="s">
        <v>368</v>
      </c>
      <c r="C523" s="15">
        <v>8303601</v>
      </c>
      <c r="D523" s="16" t="s">
        <v>50</v>
      </c>
      <c r="E523" s="15" t="s">
        <v>2589</v>
      </c>
      <c r="F523" s="21" t="str">
        <f>HYPERLINK("https://psearch.kitsapgov.com/webappa/index.html?parcelID=1307859&amp;Theme=Imagery","1307859")</f>
        <v>1307859</v>
      </c>
      <c r="G523" s="16" t="s">
        <v>2590</v>
      </c>
      <c r="H523" s="17">
        <v>42971</v>
      </c>
      <c r="I523" s="18">
        <v>650000</v>
      </c>
      <c r="J523" s="19">
        <v>0.31</v>
      </c>
      <c r="K523" s="16" t="s">
        <v>53</v>
      </c>
      <c r="L523" s="16" t="s">
        <v>20</v>
      </c>
      <c r="M523" s="16" t="s">
        <v>2591</v>
      </c>
      <c r="N523" s="16" t="s">
        <v>2592</v>
      </c>
    </row>
    <row r="524" spans="1:14" ht="20.100000000000001" customHeight="1" x14ac:dyDescent="0.25">
      <c r="A524" s="15" t="s">
        <v>2593</v>
      </c>
      <c r="B524" s="16" t="s">
        <v>89</v>
      </c>
      <c r="C524" s="15">
        <v>8100501</v>
      </c>
      <c r="D524" s="16" t="s">
        <v>117</v>
      </c>
      <c r="E524" s="15" t="s">
        <v>2594</v>
      </c>
      <c r="F524" s="21" t="str">
        <f>HYPERLINK("https://psearch.kitsapgov.com/webappa/index.html?parcelID=1426949&amp;Theme=Imagery","1426949")</f>
        <v>1426949</v>
      </c>
      <c r="G524" s="16" t="s">
        <v>2595</v>
      </c>
      <c r="H524" s="17">
        <v>42986</v>
      </c>
      <c r="I524" s="18">
        <v>300000</v>
      </c>
      <c r="J524" s="19">
        <v>7.0000000000000007E-2</v>
      </c>
      <c r="K524" s="16" t="s">
        <v>120</v>
      </c>
      <c r="L524" s="16" t="s">
        <v>1933</v>
      </c>
      <c r="M524" s="16" t="s">
        <v>2559</v>
      </c>
      <c r="N524" s="16" t="s">
        <v>2596</v>
      </c>
    </row>
    <row r="525" spans="1:14" ht="20.100000000000001" customHeight="1" x14ac:dyDescent="0.25">
      <c r="A525" s="15" t="s">
        <v>2597</v>
      </c>
      <c r="B525" s="16" t="s">
        <v>2598</v>
      </c>
      <c r="C525" s="15">
        <v>8402308</v>
      </c>
      <c r="D525" s="16" t="s">
        <v>75</v>
      </c>
      <c r="E525" s="15" t="s">
        <v>2599</v>
      </c>
      <c r="F525" s="21" t="str">
        <f>HYPERLINK("https://psearch.kitsapgov.com/webappa/index.html?parcelID=2488138&amp;Theme=Imagery","2488138")</f>
        <v>2488138</v>
      </c>
      <c r="G525" s="16" t="s">
        <v>2600</v>
      </c>
      <c r="H525" s="17">
        <v>42984</v>
      </c>
      <c r="I525" s="18">
        <v>247835</v>
      </c>
      <c r="J525" s="19">
        <v>1.45</v>
      </c>
      <c r="K525" s="16" t="s">
        <v>672</v>
      </c>
      <c r="L525" s="16" t="s">
        <v>20</v>
      </c>
      <c r="M525" s="16" t="s">
        <v>2601</v>
      </c>
      <c r="N525" s="16" t="s">
        <v>2602</v>
      </c>
    </row>
    <row r="526" spans="1:14" ht="20.100000000000001" customHeight="1" x14ac:dyDescent="0.25">
      <c r="A526" s="15" t="s">
        <v>2603</v>
      </c>
      <c r="B526" s="16" t="s">
        <v>66</v>
      </c>
      <c r="C526" s="15">
        <v>8400302</v>
      </c>
      <c r="D526" s="16" t="s">
        <v>133</v>
      </c>
      <c r="E526" s="15" t="s">
        <v>712</v>
      </c>
      <c r="F526" s="21" t="str">
        <f>HYPERLINK("https://psearch.kitsapgov.com/webappa/index.html?parcelID=1408566&amp;Theme=Imagery","1408566")</f>
        <v>1408566</v>
      </c>
      <c r="G526" s="16" t="s">
        <v>713</v>
      </c>
      <c r="H526" s="17">
        <v>42985</v>
      </c>
      <c r="I526" s="18">
        <v>600000</v>
      </c>
      <c r="J526" s="19">
        <v>1.23</v>
      </c>
      <c r="K526" s="16" t="s">
        <v>136</v>
      </c>
      <c r="L526" s="16" t="s">
        <v>38</v>
      </c>
      <c r="M526" s="16" t="s">
        <v>2604</v>
      </c>
      <c r="N526" s="16" t="s">
        <v>2605</v>
      </c>
    </row>
    <row r="527" spans="1:14" ht="20.100000000000001" customHeight="1" x14ac:dyDescent="0.25">
      <c r="A527" s="15" t="s">
        <v>2606</v>
      </c>
      <c r="B527" s="16" t="s">
        <v>676</v>
      </c>
      <c r="C527" s="15">
        <v>9401591</v>
      </c>
      <c r="D527" s="16" t="s">
        <v>1960</v>
      </c>
      <c r="E527" s="15" t="s">
        <v>2607</v>
      </c>
      <c r="F527" s="21" t="str">
        <f>HYPERLINK("https://psearch.kitsapgov.com/webappa/index.html?parcelID=2170850&amp;Theme=Imagery","2170850")</f>
        <v>2170850</v>
      </c>
      <c r="G527" s="16" t="s">
        <v>2608</v>
      </c>
      <c r="H527" s="17">
        <v>42989</v>
      </c>
      <c r="I527" s="18">
        <v>950000</v>
      </c>
      <c r="J527" s="19">
        <v>1.94</v>
      </c>
      <c r="K527" s="16" t="s">
        <v>128</v>
      </c>
      <c r="L527" s="16" t="s">
        <v>38</v>
      </c>
      <c r="M527" s="16" t="s">
        <v>2609</v>
      </c>
      <c r="N527" s="16" t="s">
        <v>2610</v>
      </c>
    </row>
    <row r="528" spans="1:14" ht="20.100000000000001" customHeight="1" x14ac:dyDescent="0.25">
      <c r="A528" s="15" t="s">
        <v>2611</v>
      </c>
      <c r="B528" s="16" t="s">
        <v>239</v>
      </c>
      <c r="C528" s="15">
        <v>9402390</v>
      </c>
      <c r="D528" s="16" t="s">
        <v>271</v>
      </c>
      <c r="E528" s="15" t="s">
        <v>2612</v>
      </c>
      <c r="F528" s="21" t="str">
        <f>HYPERLINK("https://psearch.kitsapgov.com/webappa/index.html?parcelID=1719335&amp;Theme=Imagery","1719335")</f>
        <v>1719335</v>
      </c>
      <c r="G528" s="16" t="s">
        <v>2613</v>
      </c>
      <c r="H528" s="17">
        <v>42977</v>
      </c>
      <c r="I528" s="18">
        <v>260000</v>
      </c>
      <c r="J528" s="19">
        <v>0.54</v>
      </c>
      <c r="K528" s="16" t="s">
        <v>397</v>
      </c>
      <c r="L528" s="16" t="s">
        <v>981</v>
      </c>
      <c r="M528" s="16" t="s">
        <v>2614</v>
      </c>
      <c r="N528" s="16" t="s">
        <v>2615</v>
      </c>
    </row>
    <row r="529" spans="1:14" ht="20.100000000000001" customHeight="1" x14ac:dyDescent="0.25">
      <c r="A529" s="15" t="s">
        <v>2616</v>
      </c>
      <c r="B529" s="16" t="s">
        <v>164</v>
      </c>
      <c r="C529" s="15">
        <v>8303601</v>
      </c>
      <c r="D529" s="16" t="s">
        <v>50</v>
      </c>
      <c r="E529" s="15" t="s">
        <v>2617</v>
      </c>
      <c r="F529" s="21" t="str">
        <f>HYPERLINK("https://psearch.kitsapgov.com/webappa/index.html?parcelID=1885318&amp;Theme=Imagery","1885318")</f>
        <v>1885318</v>
      </c>
      <c r="G529" s="16" t="s">
        <v>2618</v>
      </c>
      <c r="H529" s="17">
        <v>42978</v>
      </c>
      <c r="I529" s="18">
        <v>228580</v>
      </c>
      <c r="J529" s="19">
        <v>0</v>
      </c>
      <c r="L529" s="16" t="s">
        <v>2619</v>
      </c>
      <c r="M529" s="16" t="s">
        <v>2620</v>
      </c>
      <c r="N529" s="16" t="s">
        <v>2621</v>
      </c>
    </row>
    <row r="530" spans="1:14" ht="20.100000000000001" customHeight="1" x14ac:dyDescent="0.25">
      <c r="A530" s="15" t="s">
        <v>2622</v>
      </c>
      <c r="B530" s="16" t="s">
        <v>214</v>
      </c>
      <c r="C530" s="15">
        <v>9100541</v>
      </c>
      <c r="D530" s="16" t="s">
        <v>215</v>
      </c>
      <c r="E530" s="15" t="s">
        <v>2623</v>
      </c>
      <c r="F530" s="21" t="str">
        <f>HYPERLINK("https://psearch.kitsapgov.com/webappa/index.html?parcelID=1456011&amp;Theme=Imagery","1456011")</f>
        <v>1456011</v>
      </c>
      <c r="G530" s="16" t="s">
        <v>2624</v>
      </c>
      <c r="H530" s="17">
        <v>42989</v>
      </c>
      <c r="I530" s="18">
        <v>482500</v>
      </c>
      <c r="J530" s="19">
        <v>0.16</v>
      </c>
      <c r="K530" s="16" t="s">
        <v>235</v>
      </c>
      <c r="L530" s="16" t="s">
        <v>38</v>
      </c>
      <c r="M530" s="16" t="s">
        <v>2625</v>
      </c>
      <c r="N530" s="16" t="s">
        <v>2626</v>
      </c>
    </row>
    <row r="531" spans="1:14" ht="20.100000000000001" customHeight="1" x14ac:dyDescent="0.25">
      <c r="A531" s="15" t="s">
        <v>2627</v>
      </c>
      <c r="B531" s="16" t="s">
        <v>89</v>
      </c>
      <c r="C531" s="15">
        <v>8402307</v>
      </c>
      <c r="D531" s="16" t="s">
        <v>151</v>
      </c>
      <c r="E531" s="15" t="s">
        <v>2628</v>
      </c>
      <c r="F531" s="21" t="str">
        <f>HYPERLINK("https://psearch.kitsapgov.com/webappa/index.html?parcelID=2351955&amp;Theme=Imagery","2351955")</f>
        <v>2351955</v>
      </c>
      <c r="G531" s="16" t="s">
        <v>2629</v>
      </c>
      <c r="H531" s="17">
        <v>42993</v>
      </c>
      <c r="I531" s="18">
        <v>2755000</v>
      </c>
      <c r="J531" s="19">
        <v>3.48</v>
      </c>
      <c r="K531" s="16" t="s">
        <v>154</v>
      </c>
      <c r="L531" s="16" t="s">
        <v>20</v>
      </c>
      <c r="M531" s="16" t="s">
        <v>2630</v>
      </c>
      <c r="N531" s="16" t="s">
        <v>2631</v>
      </c>
    </row>
    <row r="532" spans="1:14" ht="20.100000000000001" customHeight="1" x14ac:dyDescent="0.25">
      <c r="A532" s="15" t="s">
        <v>2632</v>
      </c>
      <c r="B532" s="16" t="s">
        <v>57</v>
      </c>
      <c r="C532" s="15">
        <v>8401104</v>
      </c>
      <c r="D532" s="16" t="s">
        <v>144</v>
      </c>
      <c r="E532" s="15" t="s">
        <v>2633</v>
      </c>
      <c r="F532" s="21" t="str">
        <f>HYPERLINK("https://psearch.kitsapgov.com/webappa/index.html?parcelID=1633775&amp;Theme=Imagery","1633775")</f>
        <v>1633775</v>
      </c>
      <c r="G532" s="16" t="s">
        <v>2634</v>
      </c>
      <c r="H532" s="17">
        <v>42991</v>
      </c>
      <c r="I532" s="18">
        <v>50000</v>
      </c>
      <c r="J532" s="19">
        <v>0.26</v>
      </c>
      <c r="K532" s="16" t="s">
        <v>194</v>
      </c>
      <c r="L532" s="16" t="s">
        <v>372</v>
      </c>
      <c r="M532" s="16" t="s">
        <v>2635</v>
      </c>
      <c r="N532" s="16" t="s">
        <v>2636</v>
      </c>
    </row>
    <row r="533" spans="1:14" ht="20.100000000000001" customHeight="1" x14ac:dyDescent="0.25">
      <c r="A533" s="15" t="s">
        <v>2637</v>
      </c>
      <c r="B533" s="16" t="s">
        <v>2103</v>
      </c>
      <c r="C533" s="15">
        <v>8402306</v>
      </c>
      <c r="D533" s="16" t="s">
        <v>34</v>
      </c>
      <c r="E533" s="15" t="s">
        <v>2638</v>
      </c>
      <c r="F533" s="21" t="str">
        <f>HYPERLINK("https://psearch.kitsapgov.com/webappa/index.html?parcelID=2611309&amp;Theme=Imagery","2611309")</f>
        <v>2611309</v>
      </c>
      <c r="G533" s="16" t="s">
        <v>2639</v>
      </c>
      <c r="H533" s="17">
        <v>42690</v>
      </c>
      <c r="I533" s="18">
        <v>96000</v>
      </c>
      <c r="J533" s="19">
        <v>1.4</v>
      </c>
      <c r="K533" s="16" t="s">
        <v>37</v>
      </c>
      <c r="L533" s="16" t="s">
        <v>542</v>
      </c>
      <c r="M533" s="16" t="s">
        <v>2640</v>
      </c>
      <c r="N533" s="16" t="s">
        <v>1374</v>
      </c>
    </row>
    <row r="534" spans="1:14" ht="20.100000000000001" customHeight="1" x14ac:dyDescent="0.25">
      <c r="A534" s="15" t="s">
        <v>2641</v>
      </c>
      <c r="B534" s="16" t="s">
        <v>368</v>
      </c>
      <c r="C534" s="15">
        <v>8401104</v>
      </c>
      <c r="D534" s="16" t="s">
        <v>144</v>
      </c>
      <c r="E534" s="15" t="s">
        <v>2642</v>
      </c>
      <c r="F534" s="21" t="str">
        <f>HYPERLINK("https://psearch.kitsapgov.com/webappa/index.html?parcelID=1241165&amp;Theme=Imagery","1241165")</f>
        <v>1241165</v>
      </c>
      <c r="G534" s="16" t="s">
        <v>2643</v>
      </c>
      <c r="H534" s="17">
        <v>42992</v>
      </c>
      <c r="I534" s="18">
        <v>6950000</v>
      </c>
      <c r="J534" s="19">
        <v>4.6399999999999997</v>
      </c>
      <c r="K534" s="16" t="s">
        <v>78</v>
      </c>
      <c r="L534" s="16" t="s">
        <v>38</v>
      </c>
      <c r="M534" s="16" t="s">
        <v>2644</v>
      </c>
      <c r="N534" s="16" t="s">
        <v>2645</v>
      </c>
    </row>
    <row r="535" spans="1:14" ht="20.100000000000001" customHeight="1" x14ac:dyDescent="0.25">
      <c r="A535" s="15" t="s">
        <v>2646</v>
      </c>
      <c r="B535" s="16" t="s">
        <v>49</v>
      </c>
      <c r="C535" s="15">
        <v>8100502</v>
      </c>
      <c r="D535" s="16" t="s">
        <v>67</v>
      </c>
      <c r="E535" s="15" t="s">
        <v>2647</v>
      </c>
      <c r="F535" s="21" t="str">
        <f>HYPERLINK("https://psearch.kitsapgov.com/webappa/index.html?parcelID=2189579&amp;Theme=Imagery","2189579")</f>
        <v>2189579</v>
      </c>
      <c r="G535" s="16" t="s">
        <v>2648</v>
      </c>
      <c r="H535" s="17">
        <v>43003</v>
      </c>
      <c r="I535" s="18">
        <v>229900</v>
      </c>
      <c r="J535" s="19">
        <v>0.2</v>
      </c>
      <c r="K535" s="16" t="s">
        <v>85</v>
      </c>
      <c r="L535" s="16" t="s">
        <v>38</v>
      </c>
      <c r="M535" s="16" t="s">
        <v>2649</v>
      </c>
      <c r="N535" s="16" t="s">
        <v>2650</v>
      </c>
    </row>
    <row r="536" spans="1:14" ht="20.100000000000001" customHeight="1" x14ac:dyDescent="0.25">
      <c r="A536" s="15" t="s">
        <v>2651</v>
      </c>
      <c r="B536" s="16" t="s">
        <v>214</v>
      </c>
      <c r="C536" s="15">
        <v>9100521</v>
      </c>
      <c r="D536" s="16" t="s">
        <v>1393</v>
      </c>
      <c r="E536" s="15" t="s">
        <v>2652</v>
      </c>
      <c r="F536" s="21" t="str">
        <f>HYPERLINK("https://psearch.kitsapgov.com/webappa/index.html?parcelID=1423417&amp;Theme=Imagery","1423417")</f>
        <v>1423417</v>
      </c>
      <c r="G536" s="16" t="s">
        <v>2653</v>
      </c>
      <c r="H536" s="17">
        <v>43005</v>
      </c>
      <c r="I536" s="18">
        <v>860000</v>
      </c>
      <c r="J536" s="19">
        <v>0.24</v>
      </c>
      <c r="K536" s="16" t="s">
        <v>296</v>
      </c>
      <c r="L536" s="16" t="s">
        <v>38</v>
      </c>
      <c r="M536" s="16" t="s">
        <v>2654</v>
      </c>
      <c r="N536" s="16" t="s">
        <v>2655</v>
      </c>
    </row>
    <row r="537" spans="1:14" ht="20.100000000000001" customHeight="1" x14ac:dyDescent="0.25">
      <c r="A537" s="15" t="s">
        <v>2656</v>
      </c>
      <c r="B537" s="16" t="s">
        <v>1353</v>
      </c>
      <c r="C537" s="15">
        <v>8400204</v>
      </c>
      <c r="D537" s="16" t="s">
        <v>178</v>
      </c>
      <c r="E537" s="15" t="s">
        <v>2657</v>
      </c>
      <c r="F537" s="21" t="str">
        <f>HYPERLINK("https://psearch.kitsapgov.com/webappa/index.html?parcelID=1610559&amp;Theme=Imagery","1610559")</f>
        <v>1610559</v>
      </c>
      <c r="G537" s="16" t="s">
        <v>2658</v>
      </c>
      <c r="H537" s="17">
        <v>43003</v>
      </c>
      <c r="I537" s="18">
        <v>130000</v>
      </c>
      <c r="J537" s="19">
        <v>0.45</v>
      </c>
      <c r="K537" s="16" t="s">
        <v>194</v>
      </c>
      <c r="L537" s="16" t="s">
        <v>38</v>
      </c>
      <c r="M537" s="16" t="s">
        <v>2659</v>
      </c>
      <c r="N537" s="16" t="s">
        <v>2660</v>
      </c>
    </row>
    <row r="538" spans="1:14" ht="20.100000000000001" customHeight="1" x14ac:dyDescent="0.25">
      <c r="A538" s="15" t="s">
        <v>2661</v>
      </c>
      <c r="B538" s="16" t="s">
        <v>286</v>
      </c>
      <c r="C538" s="15">
        <v>8400206</v>
      </c>
      <c r="D538" s="16" t="s">
        <v>287</v>
      </c>
      <c r="E538" s="15" t="s">
        <v>2662</v>
      </c>
      <c r="F538" s="21" t="str">
        <f>HYPERLINK("https://psearch.kitsapgov.com/webappa/index.html?parcelID=2071058&amp;Theme=Imagery","2071058")</f>
        <v>2071058</v>
      </c>
      <c r="G538" s="16" t="s">
        <v>1147</v>
      </c>
      <c r="H538" s="17">
        <v>42996</v>
      </c>
      <c r="I538" s="18">
        <v>42000</v>
      </c>
      <c r="J538" s="19">
        <v>0</v>
      </c>
      <c r="L538" s="16" t="s">
        <v>38</v>
      </c>
      <c r="M538" s="16" t="s">
        <v>2663</v>
      </c>
      <c r="N538" s="16" t="s">
        <v>2664</v>
      </c>
    </row>
    <row r="539" spans="1:14" ht="20.100000000000001" customHeight="1" x14ac:dyDescent="0.25">
      <c r="A539" s="15" t="s">
        <v>2665</v>
      </c>
      <c r="B539" s="16" t="s">
        <v>318</v>
      </c>
      <c r="C539" s="15">
        <v>8402391</v>
      </c>
      <c r="D539" s="16" t="s">
        <v>227</v>
      </c>
      <c r="E539" s="15" t="s">
        <v>2666</v>
      </c>
      <c r="F539" s="21" t="str">
        <f>HYPERLINK("https://psearch.kitsapgov.com/webappa/index.html?parcelID=2413854&amp;Theme=Imagery","2413854")</f>
        <v>2413854</v>
      </c>
      <c r="G539" s="16" t="s">
        <v>2667</v>
      </c>
      <c r="H539" s="17">
        <v>42991</v>
      </c>
      <c r="I539" s="18">
        <v>42000</v>
      </c>
      <c r="J539" s="19">
        <v>0</v>
      </c>
      <c r="L539" s="16" t="s">
        <v>290</v>
      </c>
      <c r="M539" s="16" t="s">
        <v>2668</v>
      </c>
      <c r="N539" s="16" t="s">
        <v>2669</v>
      </c>
    </row>
    <row r="540" spans="1:14" ht="20.100000000000001" customHeight="1" x14ac:dyDescent="0.25">
      <c r="A540" s="15" t="s">
        <v>2670</v>
      </c>
      <c r="B540" s="16" t="s">
        <v>368</v>
      </c>
      <c r="C540" s="15">
        <v>8303601</v>
      </c>
      <c r="D540" s="16" t="s">
        <v>50</v>
      </c>
      <c r="E540" s="15" t="s">
        <v>2671</v>
      </c>
      <c r="F540" s="21" t="str">
        <f>HYPERLINK("https://psearch.kitsapgov.com/webappa/index.html?parcelID=1307842&amp;Theme=Imagery","1307842")</f>
        <v>1307842</v>
      </c>
      <c r="G540" s="16" t="s">
        <v>2672</v>
      </c>
      <c r="H540" s="17">
        <v>42996</v>
      </c>
      <c r="I540" s="18">
        <v>950000</v>
      </c>
      <c r="J540" s="19">
        <v>0.59</v>
      </c>
      <c r="K540" s="16" t="s">
        <v>53</v>
      </c>
      <c r="L540" s="16" t="s">
        <v>38</v>
      </c>
      <c r="M540" s="16" t="s">
        <v>2673</v>
      </c>
      <c r="N540" s="16" t="s">
        <v>2674</v>
      </c>
    </row>
    <row r="541" spans="1:14" ht="20.100000000000001" customHeight="1" x14ac:dyDescent="0.25">
      <c r="A541" s="15" t="s">
        <v>2675</v>
      </c>
      <c r="B541" s="16" t="s">
        <v>66</v>
      </c>
      <c r="C541" s="15">
        <v>8402305</v>
      </c>
      <c r="D541" s="16" t="s">
        <v>259</v>
      </c>
      <c r="E541" s="15" t="s">
        <v>2676</v>
      </c>
      <c r="F541" s="21" t="str">
        <f>HYPERLINK("https://psearch.kitsapgov.com/webappa/index.html?parcelID=1766468&amp;Theme=Imagery","1766468")</f>
        <v>1766468</v>
      </c>
      <c r="G541" s="16" t="s">
        <v>2677</v>
      </c>
      <c r="H541" s="17">
        <v>43007</v>
      </c>
      <c r="I541" s="18">
        <v>100000</v>
      </c>
      <c r="J541" s="19">
        <v>0.97</v>
      </c>
      <c r="K541" s="16" t="s">
        <v>61</v>
      </c>
      <c r="L541" s="16" t="s">
        <v>981</v>
      </c>
      <c r="M541" s="16" t="s">
        <v>2678</v>
      </c>
      <c r="N541" s="16" t="s">
        <v>2679</v>
      </c>
    </row>
    <row r="542" spans="1:14" ht="20.100000000000001" customHeight="1" x14ac:dyDescent="0.25">
      <c r="A542" s="15" t="s">
        <v>2680</v>
      </c>
      <c r="B542" s="16" t="s">
        <v>393</v>
      </c>
      <c r="C542" s="15">
        <v>8401103</v>
      </c>
      <c r="D542" s="16" t="s">
        <v>826</v>
      </c>
      <c r="E542" s="15" t="s">
        <v>2681</v>
      </c>
      <c r="F542" s="21" t="str">
        <f>HYPERLINK("https://psearch.kitsapgov.com/webappa/index.html?parcelID=2026086&amp;Theme=Imagery","2026086")</f>
        <v>2026086</v>
      </c>
      <c r="G542" s="16" t="s">
        <v>2682</v>
      </c>
      <c r="H542" s="17">
        <v>43007</v>
      </c>
      <c r="I542" s="18">
        <v>30800000</v>
      </c>
      <c r="J542" s="19">
        <v>11.77</v>
      </c>
      <c r="K542" s="16" t="s">
        <v>708</v>
      </c>
      <c r="L542" s="16" t="s">
        <v>38</v>
      </c>
      <c r="M542" s="16" t="s">
        <v>2683</v>
      </c>
      <c r="N542" s="16" t="s">
        <v>2684</v>
      </c>
    </row>
    <row r="543" spans="1:14" ht="20.100000000000001" customHeight="1" x14ac:dyDescent="0.25">
      <c r="A543" s="15" t="s">
        <v>2685</v>
      </c>
      <c r="B543" s="16" t="s">
        <v>57</v>
      </c>
      <c r="C543" s="15">
        <v>8401104</v>
      </c>
      <c r="D543" s="16" t="s">
        <v>144</v>
      </c>
      <c r="E543" s="15" t="s">
        <v>962</v>
      </c>
      <c r="F543" s="21" t="str">
        <f>HYPERLINK("https://psearch.kitsapgov.com/webappa/index.html?parcelID=1240670&amp;Theme=Imagery","1240670")</f>
        <v>1240670</v>
      </c>
      <c r="G543" s="16" t="s">
        <v>963</v>
      </c>
      <c r="H543" s="17">
        <v>43003</v>
      </c>
      <c r="I543" s="18">
        <v>270000</v>
      </c>
      <c r="J543" s="19">
        <v>6.07</v>
      </c>
      <c r="K543" s="16" t="s">
        <v>108</v>
      </c>
      <c r="L543" s="16" t="s">
        <v>38</v>
      </c>
      <c r="M543" s="16" t="s">
        <v>965</v>
      </c>
      <c r="N543" s="16" t="s">
        <v>415</v>
      </c>
    </row>
    <row r="544" spans="1:14" ht="20.100000000000001" customHeight="1" x14ac:dyDescent="0.25">
      <c r="A544" s="15" t="s">
        <v>2686</v>
      </c>
      <c r="B544" s="16" t="s">
        <v>89</v>
      </c>
      <c r="C544" s="15">
        <v>8402307</v>
      </c>
      <c r="D544" s="16" t="s">
        <v>151</v>
      </c>
      <c r="E544" s="15" t="s">
        <v>2687</v>
      </c>
      <c r="F544" s="21" t="str">
        <f>HYPERLINK("https://psearch.kitsapgov.com/webappa/index.html?parcelID=2351963&amp;Theme=Imagery","2351963")</f>
        <v>2351963</v>
      </c>
      <c r="G544" s="16" t="s">
        <v>2688</v>
      </c>
      <c r="H544" s="17">
        <v>42993</v>
      </c>
      <c r="I544" s="18">
        <v>10000</v>
      </c>
      <c r="J544" s="19">
        <v>4.1900000000000004</v>
      </c>
      <c r="K544" s="16" t="s">
        <v>154</v>
      </c>
      <c r="L544" s="16" t="s">
        <v>20</v>
      </c>
      <c r="M544" s="16" t="s">
        <v>2689</v>
      </c>
      <c r="N544" s="16" t="s">
        <v>2631</v>
      </c>
    </row>
    <row r="545" spans="1:14" ht="20.100000000000001" customHeight="1" x14ac:dyDescent="0.25">
      <c r="A545" s="15" t="s">
        <v>2690</v>
      </c>
      <c r="B545" s="16" t="s">
        <v>1031</v>
      </c>
      <c r="C545" s="15">
        <v>8402307</v>
      </c>
      <c r="D545" s="16" t="s">
        <v>151</v>
      </c>
      <c r="E545" s="15" t="s">
        <v>2691</v>
      </c>
      <c r="F545" s="21" t="str">
        <f>HYPERLINK("https://psearch.kitsapgov.com/webappa/index.html?parcelID=1175231&amp;Theme=Imagery","1175231")</f>
        <v>1175231</v>
      </c>
      <c r="G545" s="16" t="s">
        <v>2692</v>
      </c>
      <c r="H545" s="17">
        <v>43007</v>
      </c>
      <c r="I545" s="18">
        <v>3703700</v>
      </c>
      <c r="J545" s="19">
        <v>5.32</v>
      </c>
      <c r="K545" s="16" t="s">
        <v>154</v>
      </c>
      <c r="L545" s="16" t="s">
        <v>246</v>
      </c>
      <c r="M545" s="16" t="s">
        <v>2693</v>
      </c>
      <c r="N545" s="16" t="s">
        <v>2694</v>
      </c>
    </row>
    <row r="546" spans="1:14" ht="20.100000000000001" customHeight="1" x14ac:dyDescent="0.25">
      <c r="A546" s="15" t="s">
        <v>2695</v>
      </c>
      <c r="B546" s="16" t="s">
        <v>1031</v>
      </c>
      <c r="C546" s="15">
        <v>8402307</v>
      </c>
      <c r="D546" s="16" t="s">
        <v>151</v>
      </c>
      <c r="E546" s="15" t="s">
        <v>2691</v>
      </c>
      <c r="F546" s="21" t="str">
        <f>HYPERLINK("https://psearch.kitsapgov.com/webappa/index.html?parcelID=1175231&amp;Theme=Imagery","1175231")</f>
        <v>1175231</v>
      </c>
      <c r="G546" s="16" t="s">
        <v>2692</v>
      </c>
      <c r="H546" s="17">
        <v>43007</v>
      </c>
      <c r="I546" s="18">
        <v>3703700</v>
      </c>
      <c r="J546" s="19">
        <v>5.32</v>
      </c>
      <c r="K546" s="16" t="s">
        <v>154</v>
      </c>
      <c r="L546" s="16" t="s">
        <v>174</v>
      </c>
      <c r="M546" s="16" t="s">
        <v>2694</v>
      </c>
      <c r="N546" s="16" t="s">
        <v>2696</v>
      </c>
    </row>
    <row r="547" spans="1:14" ht="20.100000000000001" customHeight="1" x14ac:dyDescent="0.25">
      <c r="A547" s="15" t="s">
        <v>2697</v>
      </c>
      <c r="B547" s="16" t="s">
        <v>442</v>
      </c>
      <c r="C547" s="15">
        <v>8402307</v>
      </c>
      <c r="D547" s="16" t="s">
        <v>151</v>
      </c>
      <c r="E547" s="15" t="s">
        <v>2698</v>
      </c>
      <c r="F547" s="21" t="str">
        <f>HYPERLINK("https://psearch.kitsapgov.com/webappa/index.html?parcelID=2300051&amp;Theme=Imagery","2300051")</f>
        <v>2300051</v>
      </c>
      <c r="G547" s="16" t="s">
        <v>2699</v>
      </c>
      <c r="H547" s="17">
        <v>43010</v>
      </c>
      <c r="I547" s="18">
        <v>2000000</v>
      </c>
      <c r="J547" s="19">
        <v>0.87</v>
      </c>
      <c r="K547" s="16" t="s">
        <v>78</v>
      </c>
      <c r="L547" s="16" t="s">
        <v>38</v>
      </c>
      <c r="M547" s="16" t="s">
        <v>2700</v>
      </c>
      <c r="N547" s="16" t="s">
        <v>2701</v>
      </c>
    </row>
    <row r="548" spans="1:14" ht="20.100000000000001" customHeight="1" x14ac:dyDescent="0.25">
      <c r="A548" s="15" t="s">
        <v>2702</v>
      </c>
      <c r="B548" s="16" t="s">
        <v>89</v>
      </c>
      <c r="C548" s="15">
        <v>8100502</v>
      </c>
      <c r="D548" s="16" t="s">
        <v>67</v>
      </c>
      <c r="E548" s="15" t="s">
        <v>2703</v>
      </c>
      <c r="F548" s="21" t="str">
        <f>HYPERLINK("https://psearch.kitsapgov.com/webappa/index.html?parcelID=1126440&amp;Theme=Imagery","1126440")</f>
        <v>1126440</v>
      </c>
      <c r="G548" s="16" t="s">
        <v>2704</v>
      </c>
      <c r="H548" s="17">
        <v>42929</v>
      </c>
      <c r="I548" s="18">
        <v>380000</v>
      </c>
      <c r="J548" s="19">
        <v>0.34</v>
      </c>
      <c r="K548" s="16" t="s">
        <v>85</v>
      </c>
      <c r="L548" s="16" t="s">
        <v>856</v>
      </c>
      <c r="M548" s="16" t="s">
        <v>2705</v>
      </c>
      <c r="N548" s="16" t="s">
        <v>2706</v>
      </c>
    </row>
    <row r="549" spans="1:14" ht="20.100000000000001" customHeight="1" x14ac:dyDescent="0.25">
      <c r="A549" s="15" t="s">
        <v>2707</v>
      </c>
      <c r="B549" s="16" t="s">
        <v>49</v>
      </c>
      <c r="C549" s="15">
        <v>9100541</v>
      </c>
      <c r="D549" s="16" t="s">
        <v>215</v>
      </c>
      <c r="E549" s="15" t="s">
        <v>2708</v>
      </c>
      <c r="F549" s="21" t="str">
        <f>HYPERLINK("https://psearch.kitsapgov.com/webappa/index.html?parcelID=1429687&amp;Theme=Imagery","1429687")</f>
        <v>1429687</v>
      </c>
      <c r="G549" s="16" t="s">
        <v>2709</v>
      </c>
      <c r="H549" s="17">
        <v>43005</v>
      </c>
      <c r="I549" s="18">
        <v>226000</v>
      </c>
      <c r="J549" s="19">
        <v>0.14000000000000001</v>
      </c>
      <c r="K549" s="16" t="s">
        <v>173</v>
      </c>
      <c r="L549" s="16" t="s">
        <v>38</v>
      </c>
      <c r="M549" s="16" t="s">
        <v>2710</v>
      </c>
      <c r="N549" s="16" t="s">
        <v>2711</v>
      </c>
    </row>
    <row r="550" spans="1:14" ht="20.100000000000001" customHeight="1" x14ac:dyDescent="0.25">
      <c r="A550" s="15" t="s">
        <v>2712</v>
      </c>
      <c r="B550" s="16" t="s">
        <v>96</v>
      </c>
      <c r="C550" s="15">
        <v>8402306</v>
      </c>
      <c r="D550" s="16" t="s">
        <v>34</v>
      </c>
      <c r="E550" s="15" t="s">
        <v>2713</v>
      </c>
      <c r="F550" s="21" t="str">
        <f>HYPERLINK("https://psearch.kitsapgov.com/webappa/index.html?parcelID=1738335&amp;Theme=Imagery","1738335")</f>
        <v>1738335</v>
      </c>
      <c r="G550" s="16" t="s">
        <v>2714</v>
      </c>
      <c r="H550" s="17">
        <v>43020</v>
      </c>
      <c r="I550" s="18">
        <v>450000</v>
      </c>
      <c r="J550" s="19">
        <v>0.41</v>
      </c>
      <c r="K550" s="16" t="s">
        <v>583</v>
      </c>
      <c r="L550" s="16" t="s">
        <v>38</v>
      </c>
      <c r="M550" s="16" t="s">
        <v>2715</v>
      </c>
      <c r="N550" s="16" t="s">
        <v>2716</v>
      </c>
    </row>
    <row r="551" spans="1:14" ht="20.100000000000001" customHeight="1" x14ac:dyDescent="0.25">
      <c r="A551" s="15" t="s">
        <v>2717</v>
      </c>
      <c r="B551" s="16" t="s">
        <v>704</v>
      </c>
      <c r="C551" s="15">
        <v>9401591</v>
      </c>
      <c r="D551" s="16" t="s">
        <v>1960</v>
      </c>
      <c r="E551" s="15" t="s">
        <v>2718</v>
      </c>
      <c r="F551" s="21" t="str">
        <f>HYPERLINK("https://psearch.kitsapgov.com/webappa/index.html?parcelID=1261817&amp;Theme=Imagery","1261817")</f>
        <v>1261817</v>
      </c>
      <c r="G551" s="16" t="s">
        <v>2719</v>
      </c>
      <c r="H551" s="17">
        <v>43017</v>
      </c>
      <c r="I551" s="18">
        <v>1591147</v>
      </c>
      <c r="J551" s="19">
        <v>11.65</v>
      </c>
      <c r="K551" s="16" t="s">
        <v>397</v>
      </c>
      <c r="L551" s="16" t="s">
        <v>246</v>
      </c>
      <c r="M551" s="16" t="s">
        <v>2720</v>
      </c>
      <c r="N551" s="16" t="s">
        <v>2721</v>
      </c>
    </row>
    <row r="552" spans="1:14" ht="20.100000000000001" customHeight="1" x14ac:dyDescent="0.25">
      <c r="A552" s="15" t="s">
        <v>2722</v>
      </c>
      <c r="B552" s="16" t="s">
        <v>89</v>
      </c>
      <c r="C552" s="15">
        <v>8100501</v>
      </c>
      <c r="D552" s="16" t="s">
        <v>117</v>
      </c>
      <c r="E552" s="15" t="s">
        <v>2723</v>
      </c>
      <c r="F552" s="21" t="str">
        <f>HYPERLINK("https://psearch.kitsapgov.com/webappa/index.html?parcelID=1427079&amp;Theme=Imagery","1427079")</f>
        <v>1427079</v>
      </c>
      <c r="G552" s="16" t="s">
        <v>2724</v>
      </c>
      <c r="H552" s="17">
        <v>43032</v>
      </c>
      <c r="I552" s="18">
        <v>344000</v>
      </c>
      <c r="J552" s="19">
        <v>0.02</v>
      </c>
      <c r="K552" s="16" t="s">
        <v>120</v>
      </c>
      <c r="L552" s="16" t="s">
        <v>38</v>
      </c>
      <c r="M552" s="16" t="s">
        <v>2725</v>
      </c>
      <c r="N552" s="16" t="s">
        <v>2726</v>
      </c>
    </row>
    <row r="553" spans="1:14" ht="20.100000000000001" customHeight="1" x14ac:dyDescent="0.25">
      <c r="A553" s="15" t="s">
        <v>2727</v>
      </c>
      <c r="B553" s="16" t="s">
        <v>214</v>
      </c>
      <c r="C553" s="15">
        <v>9100541</v>
      </c>
      <c r="D553" s="16" t="s">
        <v>215</v>
      </c>
      <c r="E553" s="15" t="s">
        <v>1099</v>
      </c>
      <c r="F553" s="21" t="str">
        <f>HYPERLINK("https://psearch.kitsapgov.com/webappa/index.html?parcelID=2577344&amp;Theme=Imagery","2577344")</f>
        <v>2577344</v>
      </c>
      <c r="G553" s="16" t="s">
        <v>1100</v>
      </c>
      <c r="H553" s="17">
        <v>43033</v>
      </c>
      <c r="I553" s="18">
        <v>800000</v>
      </c>
      <c r="J553" s="19">
        <v>0.09</v>
      </c>
      <c r="K553" s="16" t="s">
        <v>296</v>
      </c>
      <c r="L553" s="16" t="s">
        <v>38</v>
      </c>
      <c r="M553" s="16" t="s">
        <v>2728</v>
      </c>
      <c r="N553" s="16" t="s">
        <v>2729</v>
      </c>
    </row>
    <row r="554" spans="1:14" ht="20.100000000000001" customHeight="1" x14ac:dyDescent="0.25">
      <c r="A554" s="15" t="s">
        <v>2730</v>
      </c>
      <c r="B554" s="16" t="s">
        <v>33</v>
      </c>
      <c r="C554" s="15">
        <v>9400203</v>
      </c>
      <c r="D554" s="16" t="s">
        <v>42</v>
      </c>
      <c r="E554" s="15" t="s">
        <v>2731</v>
      </c>
      <c r="F554" s="21" t="str">
        <f>HYPERLINK("https://psearch.kitsapgov.com/webappa/index.html?parcelID=2460855&amp;Theme=Imagery","2460855")</f>
        <v>2460855</v>
      </c>
      <c r="G554" s="16" t="s">
        <v>1260</v>
      </c>
      <c r="H554" s="17">
        <v>43032</v>
      </c>
      <c r="I554" s="18">
        <v>405000</v>
      </c>
      <c r="J554" s="19">
        <v>0.04</v>
      </c>
      <c r="K554" s="16" t="s">
        <v>45</v>
      </c>
      <c r="L554" s="16" t="s">
        <v>38</v>
      </c>
      <c r="M554" s="16" t="s">
        <v>2732</v>
      </c>
      <c r="N554" s="16" t="s">
        <v>2733</v>
      </c>
    </row>
    <row r="555" spans="1:14" ht="20.100000000000001" customHeight="1" x14ac:dyDescent="0.25">
      <c r="A555" s="15" t="s">
        <v>2734</v>
      </c>
      <c r="B555" s="16" t="s">
        <v>49</v>
      </c>
      <c r="C555" s="15">
        <v>8401101</v>
      </c>
      <c r="D555" s="16" t="s">
        <v>185</v>
      </c>
      <c r="E555" s="15" t="s">
        <v>2735</v>
      </c>
      <c r="F555" s="21" t="str">
        <f>HYPERLINK("https://psearch.kitsapgov.com/webappa/index.html?parcelID=1242403&amp;Theme=Imagery","1242403")</f>
        <v>1242403</v>
      </c>
      <c r="G555" s="16" t="s">
        <v>2736</v>
      </c>
      <c r="H555" s="17">
        <v>43033</v>
      </c>
      <c r="I555" s="18">
        <v>225000</v>
      </c>
      <c r="J555" s="19">
        <v>0.27</v>
      </c>
      <c r="K555" s="16" t="s">
        <v>188</v>
      </c>
      <c r="L555" s="16" t="s">
        <v>38</v>
      </c>
      <c r="M555" s="16" t="s">
        <v>2737</v>
      </c>
      <c r="N555" s="16" t="s">
        <v>2738</v>
      </c>
    </row>
    <row r="556" spans="1:14" ht="20.100000000000001" customHeight="1" x14ac:dyDescent="0.25">
      <c r="A556" s="15" t="s">
        <v>2739</v>
      </c>
      <c r="B556" s="16" t="s">
        <v>265</v>
      </c>
      <c r="C556" s="15">
        <v>8401101</v>
      </c>
      <c r="D556" s="16" t="s">
        <v>185</v>
      </c>
      <c r="E556" s="15" t="s">
        <v>1446</v>
      </c>
      <c r="F556" s="21" t="str">
        <f>HYPERLINK("https://psearch.kitsapgov.com/webappa/index.html?parcelID=1931278&amp;Theme=Imagery","1931278")</f>
        <v>1931278</v>
      </c>
      <c r="G556" s="16" t="s">
        <v>1447</v>
      </c>
      <c r="H556" s="17">
        <v>43040</v>
      </c>
      <c r="I556" s="18">
        <v>850000</v>
      </c>
      <c r="J556" s="19">
        <v>0.74</v>
      </c>
      <c r="K556" s="16" t="s">
        <v>188</v>
      </c>
      <c r="L556" s="16" t="s">
        <v>79</v>
      </c>
      <c r="M556" s="16" t="s">
        <v>1448</v>
      </c>
      <c r="N556" s="16" t="s">
        <v>2740</v>
      </c>
    </row>
    <row r="557" spans="1:14" ht="20.100000000000001" customHeight="1" x14ac:dyDescent="0.25">
      <c r="A557" s="15" t="s">
        <v>2741</v>
      </c>
      <c r="B557" s="16" t="s">
        <v>96</v>
      </c>
      <c r="C557" s="15">
        <v>8402307</v>
      </c>
      <c r="D557" s="16" t="s">
        <v>151</v>
      </c>
      <c r="E557" s="15" t="s">
        <v>2742</v>
      </c>
      <c r="F557" s="21" t="str">
        <f>HYPERLINK("https://psearch.kitsapgov.com/webappa/index.html?parcelID=1175561&amp;Theme=Imagery","1175561")</f>
        <v>1175561</v>
      </c>
      <c r="G557" s="16" t="s">
        <v>2743</v>
      </c>
      <c r="H557" s="17">
        <v>43038</v>
      </c>
      <c r="I557" s="18">
        <v>610000</v>
      </c>
      <c r="J557" s="19">
        <v>0.43</v>
      </c>
      <c r="K557" s="16" t="s">
        <v>371</v>
      </c>
      <c r="L557" s="16" t="s">
        <v>20</v>
      </c>
      <c r="M557" s="16" t="s">
        <v>738</v>
      </c>
      <c r="N557" s="16" t="s">
        <v>2744</v>
      </c>
    </row>
    <row r="558" spans="1:14" ht="20.100000000000001" customHeight="1" x14ac:dyDescent="0.25">
      <c r="A558" s="15" t="s">
        <v>2745</v>
      </c>
      <c r="B558" s="16" t="s">
        <v>688</v>
      </c>
      <c r="C558" s="15">
        <v>8402305</v>
      </c>
      <c r="D558" s="16" t="s">
        <v>259</v>
      </c>
      <c r="E558" s="15" t="s">
        <v>2746</v>
      </c>
      <c r="F558" s="21" t="str">
        <f>HYPERLINK("https://psearch.kitsapgov.com/webappa/index.html?parcelID=2221232&amp;Theme=Imagery","2221232")</f>
        <v>2221232</v>
      </c>
      <c r="G558" s="16" t="s">
        <v>2747</v>
      </c>
      <c r="H558" s="17">
        <v>43035</v>
      </c>
      <c r="I558" s="18">
        <v>3200000</v>
      </c>
      <c r="J558" s="19">
        <v>2.7</v>
      </c>
      <c r="K558" s="16" t="s">
        <v>309</v>
      </c>
      <c r="L558" s="16" t="s">
        <v>38</v>
      </c>
      <c r="M558" s="16" t="s">
        <v>2748</v>
      </c>
      <c r="N558" s="16" t="s">
        <v>2749</v>
      </c>
    </row>
    <row r="559" spans="1:14" ht="20.100000000000001" customHeight="1" x14ac:dyDescent="0.25">
      <c r="A559" s="15" t="s">
        <v>2750</v>
      </c>
      <c r="B559" s="16" t="s">
        <v>49</v>
      </c>
      <c r="C559" s="15">
        <v>9401120</v>
      </c>
      <c r="D559" s="16" t="s">
        <v>125</v>
      </c>
      <c r="E559" s="15" t="s">
        <v>2751</v>
      </c>
      <c r="F559" s="21" t="str">
        <f>HYPERLINK("https://psearch.kitsapgov.com/webappa/index.html?parcelID=1116078&amp;Theme=Imagery","1116078")</f>
        <v>1116078</v>
      </c>
      <c r="G559" s="16" t="s">
        <v>193</v>
      </c>
      <c r="H559" s="17">
        <v>43042</v>
      </c>
      <c r="I559" s="18">
        <v>197500</v>
      </c>
      <c r="J559" s="19">
        <v>0.38</v>
      </c>
      <c r="K559" s="16" t="s">
        <v>194</v>
      </c>
      <c r="L559" s="16" t="s">
        <v>38</v>
      </c>
      <c r="M559" s="16" t="s">
        <v>2752</v>
      </c>
      <c r="N559" s="16" t="s">
        <v>2753</v>
      </c>
    </row>
    <row r="560" spans="1:14" ht="20.100000000000001" customHeight="1" x14ac:dyDescent="0.25">
      <c r="A560" s="15" t="s">
        <v>2754</v>
      </c>
      <c r="B560" s="16" t="s">
        <v>49</v>
      </c>
      <c r="C560" s="15">
        <v>8401101</v>
      </c>
      <c r="D560" s="16" t="s">
        <v>185</v>
      </c>
      <c r="E560" s="15" t="s">
        <v>2755</v>
      </c>
      <c r="F560" s="21" t="str">
        <f>HYPERLINK("https://psearch.kitsapgov.com/webappa/index.html?parcelID=1250075&amp;Theme=Imagery","1250075")</f>
        <v>1250075</v>
      </c>
      <c r="G560" s="16" t="s">
        <v>2756</v>
      </c>
      <c r="H560" s="17">
        <v>43035</v>
      </c>
      <c r="I560" s="18">
        <v>300000</v>
      </c>
      <c r="J560" s="19">
        <v>5.34</v>
      </c>
      <c r="K560" s="16" t="s">
        <v>188</v>
      </c>
      <c r="L560" s="16" t="s">
        <v>174</v>
      </c>
      <c r="M560" s="16" t="s">
        <v>2757</v>
      </c>
      <c r="N560" s="16" t="s">
        <v>2758</v>
      </c>
    </row>
    <row r="561" spans="1:14" ht="20.100000000000001" customHeight="1" x14ac:dyDescent="0.25">
      <c r="A561" s="15" t="s">
        <v>2759</v>
      </c>
      <c r="B561" s="16" t="s">
        <v>49</v>
      </c>
      <c r="C561" s="15">
        <v>8401101</v>
      </c>
      <c r="D561" s="16" t="s">
        <v>185</v>
      </c>
      <c r="E561" s="15" t="s">
        <v>2755</v>
      </c>
      <c r="F561" s="21" t="str">
        <f>HYPERLINK("https://psearch.kitsapgov.com/webappa/index.html?parcelID=1250075&amp;Theme=Imagery","1250075")</f>
        <v>1250075</v>
      </c>
      <c r="G561" s="16" t="s">
        <v>2756</v>
      </c>
      <c r="H561" s="17">
        <v>43033</v>
      </c>
      <c r="I561" s="18">
        <v>300000</v>
      </c>
      <c r="J561" s="19">
        <v>5.34</v>
      </c>
      <c r="K561" s="16" t="s">
        <v>188</v>
      </c>
      <c r="L561" s="16" t="s">
        <v>174</v>
      </c>
      <c r="M561" s="16" t="s">
        <v>2757</v>
      </c>
      <c r="N561" s="16" t="s">
        <v>2760</v>
      </c>
    </row>
    <row r="562" spans="1:14" ht="20.100000000000001" customHeight="1" x14ac:dyDescent="0.25">
      <c r="A562" s="15" t="s">
        <v>2761</v>
      </c>
      <c r="B562" s="16" t="s">
        <v>49</v>
      </c>
      <c r="C562" s="15">
        <v>8401101</v>
      </c>
      <c r="D562" s="16" t="s">
        <v>185</v>
      </c>
      <c r="E562" s="15" t="s">
        <v>2755</v>
      </c>
      <c r="F562" s="21" t="str">
        <f>HYPERLINK("https://psearch.kitsapgov.com/webappa/index.html?parcelID=1250075&amp;Theme=Imagery","1250075")</f>
        <v>1250075</v>
      </c>
      <c r="G562" s="16" t="s">
        <v>2756</v>
      </c>
      <c r="H562" s="17">
        <v>43033</v>
      </c>
      <c r="I562" s="18">
        <v>400000</v>
      </c>
      <c r="J562" s="19">
        <v>5.34</v>
      </c>
      <c r="K562" s="16" t="s">
        <v>188</v>
      </c>
      <c r="L562" s="16" t="s">
        <v>174</v>
      </c>
      <c r="M562" s="16" t="s">
        <v>2757</v>
      </c>
      <c r="N562" s="16" t="s">
        <v>2762</v>
      </c>
    </row>
    <row r="563" spans="1:14" ht="20.100000000000001" customHeight="1" x14ac:dyDescent="0.25">
      <c r="A563" s="15" t="s">
        <v>2763</v>
      </c>
      <c r="B563" s="16" t="s">
        <v>2103</v>
      </c>
      <c r="C563" s="15">
        <v>8303601</v>
      </c>
      <c r="D563" s="16" t="s">
        <v>50</v>
      </c>
      <c r="E563" s="15" t="s">
        <v>2764</v>
      </c>
      <c r="F563" s="21" t="str">
        <f>HYPERLINK("https://psearch.kitsapgov.com/webappa/index.html?parcelID=2082774&amp;Theme=Imagery","2082774")</f>
        <v>2082774</v>
      </c>
      <c r="G563" s="16" t="s">
        <v>2765</v>
      </c>
      <c r="H563" s="17">
        <v>43045</v>
      </c>
      <c r="I563" s="18">
        <v>2900000</v>
      </c>
      <c r="J563" s="19">
        <v>2.36</v>
      </c>
      <c r="K563" s="16" t="s">
        <v>2766</v>
      </c>
      <c r="L563" s="16" t="s">
        <v>38</v>
      </c>
      <c r="M563" s="16" t="s">
        <v>2767</v>
      </c>
      <c r="N563" s="16" t="s">
        <v>2768</v>
      </c>
    </row>
    <row r="564" spans="1:14" ht="20.100000000000001" customHeight="1" x14ac:dyDescent="0.25">
      <c r="A564" s="15" t="s">
        <v>2769</v>
      </c>
      <c r="B564" s="16" t="s">
        <v>104</v>
      </c>
      <c r="C564" s="15">
        <v>9100592</v>
      </c>
      <c r="D564" s="16" t="s">
        <v>105</v>
      </c>
      <c r="E564" s="15" t="s">
        <v>106</v>
      </c>
      <c r="F564" s="21" t="str">
        <f>HYPERLINK("https://psearch.kitsapgov.com/webappa/index.html?parcelID=1744267&amp;Theme=Imagery","1744267")</f>
        <v>1744267</v>
      </c>
      <c r="G564" s="16" t="s">
        <v>107</v>
      </c>
      <c r="H564" s="17">
        <v>43045</v>
      </c>
      <c r="I564" s="18">
        <v>325000</v>
      </c>
      <c r="J564" s="19">
        <v>0.18</v>
      </c>
      <c r="K564" s="16" t="s">
        <v>108</v>
      </c>
      <c r="L564" s="16" t="s">
        <v>38</v>
      </c>
      <c r="M564" s="16" t="s">
        <v>110</v>
      </c>
      <c r="N564" s="16" t="s">
        <v>2770</v>
      </c>
    </row>
    <row r="565" spans="1:14" ht="20.100000000000001" customHeight="1" x14ac:dyDescent="0.25">
      <c r="A565" s="15" t="s">
        <v>2771</v>
      </c>
      <c r="B565" s="16" t="s">
        <v>89</v>
      </c>
      <c r="C565" s="15">
        <v>8400203</v>
      </c>
      <c r="D565" s="16" t="s">
        <v>97</v>
      </c>
      <c r="E565" s="15" t="s">
        <v>2327</v>
      </c>
      <c r="F565" s="21" t="str">
        <f>HYPERLINK("https://psearch.kitsapgov.com/webappa/index.html?parcelID=1336239&amp;Theme=Imagery","1336239")</f>
        <v>1336239</v>
      </c>
      <c r="G565" s="16" t="s">
        <v>2328</v>
      </c>
      <c r="H565" s="17">
        <v>43039</v>
      </c>
      <c r="I565" s="18">
        <v>232500</v>
      </c>
      <c r="J565" s="19">
        <v>0.42</v>
      </c>
      <c r="K565" s="16" t="s">
        <v>100</v>
      </c>
      <c r="L565" s="16" t="s">
        <v>743</v>
      </c>
      <c r="M565" s="16" t="s">
        <v>2772</v>
      </c>
      <c r="N565" s="16" t="s">
        <v>2773</v>
      </c>
    </row>
    <row r="566" spans="1:14" ht="20.100000000000001" customHeight="1" x14ac:dyDescent="0.25">
      <c r="A566" s="15" t="s">
        <v>2774</v>
      </c>
      <c r="B566" s="16" t="s">
        <v>368</v>
      </c>
      <c r="C566" s="15">
        <v>8100505</v>
      </c>
      <c r="D566" s="16" t="s">
        <v>17</v>
      </c>
      <c r="E566" s="15" t="s">
        <v>2775</v>
      </c>
      <c r="F566" s="21" t="str">
        <f>HYPERLINK("https://psearch.kitsapgov.com/webappa/index.html?parcelID=2093862&amp;Theme=Imagery","2093862")</f>
        <v>2093862</v>
      </c>
      <c r="G566" s="16" t="s">
        <v>2776</v>
      </c>
      <c r="H566" s="17">
        <v>43052</v>
      </c>
      <c r="I566" s="18">
        <v>3205000</v>
      </c>
      <c r="J566" s="19">
        <v>0.77</v>
      </c>
      <c r="K566" s="16" t="s">
        <v>457</v>
      </c>
      <c r="L566" s="16" t="s">
        <v>856</v>
      </c>
      <c r="M566" s="16" t="s">
        <v>2777</v>
      </c>
      <c r="N566" s="16" t="s">
        <v>2778</v>
      </c>
    </row>
    <row r="567" spans="1:14" ht="20.100000000000001" customHeight="1" x14ac:dyDescent="0.25">
      <c r="A567" s="15" t="s">
        <v>2779</v>
      </c>
      <c r="B567" s="16" t="s">
        <v>89</v>
      </c>
      <c r="C567" s="15">
        <v>8400202</v>
      </c>
      <c r="D567" s="16" t="s">
        <v>158</v>
      </c>
      <c r="E567" s="15" t="s">
        <v>2780</v>
      </c>
      <c r="F567" s="21" t="str">
        <f>HYPERLINK("https://psearch.kitsapgov.com/webappa/index.html?parcelID=1330067&amp;Theme=Imagery","1330067")</f>
        <v>1330067</v>
      </c>
      <c r="G567" s="16" t="s">
        <v>2781</v>
      </c>
      <c r="H567" s="17">
        <v>43045</v>
      </c>
      <c r="I567" s="18">
        <v>1000</v>
      </c>
      <c r="J567" s="19">
        <v>6.13</v>
      </c>
      <c r="K567" s="16" t="s">
        <v>100</v>
      </c>
      <c r="L567" s="16" t="s">
        <v>246</v>
      </c>
      <c r="M567" s="16" t="s">
        <v>2782</v>
      </c>
      <c r="N567" s="16" t="s">
        <v>2783</v>
      </c>
    </row>
    <row r="568" spans="1:14" ht="20.100000000000001" customHeight="1" x14ac:dyDescent="0.25">
      <c r="A568" s="15" t="s">
        <v>2784</v>
      </c>
      <c r="B568" s="16" t="s">
        <v>318</v>
      </c>
      <c r="C568" s="15">
        <v>8402391</v>
      </c>
      <c r="D568" s="16" t="s">
        <v>227</v>
      </c>
      <c r="E568" s="15" t="s">
        <v>2785</v>
      </c>
      <c r="F568" s="21" t="str">
        <f>HYPERLINK("https://psearch.kitsapgov.com/webappa/index.html?parcelID=2297604&amp;Theme=Imagery","2297604")</f>
        <v>2297604</v>
      </c>
      <c r="G568" s="16" t="s">
        <v>338</v>
      </c>
      <c r="H568" s="17">
        <v>43048</v>
      </c>
      <c r="I568" s="18">
        <v>30000</v>
      </c>
      <c r="J568" s="19">
        <v>0</v>
      </c>
      <c r="L568" s="16" t="s">
        <v>290</v>
      </c>
      <c r="M568" s="16" t="s">
        <v>2786</v>
      </c>
      <c r="N568" s="16" t="s">
        <v>2787</v>
      </c>
    </row>
    <row r="569" spans="1:14" ht="20.100000000000001" customHeight="1" x14ac:dyDescent="0.25">
      <c r="A569" s="15" t="s">
        <v>2788</v>
      </c>
      <c r="B569" s="16" t="s">
        <v>286</v>
      </c>
      <c r="C569" s="15">
        <v>8400206</v>
      </c>
      <c r="D569" s="16" t="s">
        <v>287</v>
      </c>
      <c r="E569" s="15" t="s">
        <v>2789</v>
      </c>
      <c r="F569" s="21" t="str">
        <f>HYPERLINK("https://psearch.kitsapgov.com/webappa/index.html?parcelID=2071595&amp;Theme=Imagery","2071595")</f>
        <v>2071595</v>
      </c>
      <c r="G569" s="16" t="s">
        <v>1312</v>
      </c>
      <c r="H569" s="17">
        <v>43048</v>
      </c>
      <c r="I569" s="18">
        <v>10000</v>
      </c>
      <c r="J569" s="19">
        <v>0</v>
      </c>
      <c r="L569" s="16" t="s">
        <v>174</v>
      </c>
      <c r="M569" s="16" t="s">
        <v>2790</v>
      </c>
      <c r="N569" s="16" t="s">
        <v>2791</v>
      </c>
    </row>
    <row r="570" spans="1:14" ht="20.100000000000001" customHeight="1" x14ac:dyDescent="0.25">
      <c r="A570" s="15" t="s">
        <v>2792</v>
      </c>
      <c r="B570" s="16" t="s">
        <v>104</v>
      </c>
      <c r="C570" s="15">
        <v>9402390</v>
      </c>
      <c r="D570" s="16" t="s">
        <v>271</v>
      </c>
      <c r="E570" s="15" t="s">
        <v>2793</v>
      </c>
      <c r="F570" s="21" t="str">
        <f>HYPERLINK("https://psearch.kitsapgov.com/webappa/index.html?parcelID=1510288&amp;Theme=Imagery","1510288")</f>
        <v>1510288</v>
      </c>
      <c r="G570" s="16" t="s">
        <v>2794</v>
      </c>
      <c r="H570" s="17">
        <v>43048</v>
      </c>
      <c r="I570" s="18">
        <v>415000</v>
      </c>
      <c r="J570" s="19">
        <v>0.28999999999999998</v>
      </c>
      <c r="K570" s="16" t="s">
        <v>274</v>
      </c>
      <c r="L570" s="16" t="s">
        <v>38</v>
      </c>
      <c r="M570" s="16" t="s">
        <v>2795</v>
      </c>
      <c r="N570" s="16" t="s">
        <v>2796</v>
      </c>
    </row>
    <row r="571" spans="1:14" ht="20.100000000000001" customHeight="1" x14ac:dyDescent="0.25">
      <c r="A571" s="15" t="s">
        <v>2797</v>
      </c>
      <c r="B571" s="16" t="s">
        <v>318</v>
      </c>
      <c r="C571" s="15">
        <v>8402391</v>
      </c>
      <c r="D571" s="16" t="s">
        <v>227</v>
      </c>
      <c r="E571" s="15" t="s">
        <v>2798</v>
      </c>
      <c r="F571" s="21" t="str">
        <f>HYPERLINK("https://psearch.kitsapgov.com/webappa/index.html?parcelID=2297638&amp;Theme=Imagery","2297638")</f>
        <v>2297638</v>
      </c>
      <c r="G571" s="16" t="s">
        <v>338</v>
      </c>
      <c r="H571" s="17">
        <v>43054</v>
      </c>
      <c r="I571" s="18">
        <v>40000</v>
      </c>
      <c r="J571" s="19">
        <v>0</v>
      </c>
      <c r="L571" s="16" t="s">
        <v>290</v>
      </c>
      <c r="M571" s="16" t="s">
        <v>2799</v>
      </c>
      <c r="N571" s="16" t="s">
        <v>2800</v>
      </c>
    </row>
    <row r="572" spans="1:14" ht="20.100000000000001" customHeight="1" x14ac:dyDescent="0.25">
      <c r="A572" s="15" t="s">
        <v>2801</v>
      </c>
      <c r="B572" s="16" t="s">
        <v>286</v>
      </c>
      <c r="C572" s="15">
        <v>8400206</v>
      </c>
      <c r="D572" s="16" t="s">
        <v>287</v>
      </c>
      <c r="E572" s="15" t="s">
        <v>2802</v>
      </c>
      <c r="F572" s="21" t="str">
        <f>HYPERLINK("https://psearch.kitsapgov.com/webappa/index.html?parcelID=2071777&amp;Theme=Imagery","2071777")</f>
        <v>2071777</v>
      </c>
      <c r="G572" s="16" t="s">
        <v>609</v>
      </c>
      <c r="H572" s="17">
        <v>43047</v>
      </c>
      <c r="I572" s="18">
        <v>9500</v>
      </c>
      <c r="J572" s="19">
        <v>0</v>
      </c>
      <c r="L572" s="16" t="s">
        <v>38</v>
      </c>
      <c r="M572" s="16" t="s">
        <v>2803</v>
      </c>
      <c r="N572" s="16" t="s">
        <v>2804</v>
      </c>
    </row>
    <row r="573" spans="1:14" ht="20.100000000000001" customHeight="1" x14ac:dyDescent="0.25">
      <c r="A573" s="15" t="s">
        <v>2805</v>
      </c>
      <c r="B573" s="16" t="s">
        <v>676</v>
      </c>
      <c r="C573" s="15">
        <v>9400207</v>
      </c>
      <c r="D573" s="16" t="s">
        <v>548</v>
      </c>
      <c r="E573" s="15" t="s">
        <v>2806</v>
      </c>
      <c r="F573" s="21" t="str">
        <f>HYPERLINK("https://psearch.kitsapgov.com/webappa/index.html?parcelID=1378447&amp;Theme=Imagery","1378447")</f>
        <v>1378447</v>
      </c>
      <c r="G573" s="16" t="s">
        <v>2807</v>
      </c>
      <c r="H573" s="17">
        <v>43061</v>
      </c>
      <c r="I573" s="18">
        <v>5500000</v>
      </c>
      <c r="J573" s="19">
        <v>28.88</v>
      </c>
      <c r="K573" s="16" t="s">
        <v>128</v>
      </c>
      <c r="L573" s="16" t="s">
        <v>38</v>
      </c>
      <c r="M573" s="16" t="s">
        <v>2808</v>
      </c>
      <c r="N573" s="16" t="s">
        <v>2809</v>
      </c>
    </row>
    <row r="574" spans="1:14" ht="20.100000000000001" customHeight="1" x14ac:dyDescent="0.25">
      <c r="A574" s="15" t="s">
        <v>2810</v>
      </c>
      <c r="B574" s="16" t="s">
        <v>318</v>
      </c>
      <c r="C574" s="15">
        <v>8402391</v>
      </c>
      <c r="D574" s="16" t="s">
        <v>227</v>
      </c>
      <c r="E574" s="15" t="s">
        <v>2811</v>
      </c>
      <c r="F574" s="21" t="str">
        <f>HYPERLINK("https://psearch.kitsapgov.com/webappa/index.html?parcelID=2297570&amp;Theme=Imagery","2297570")</f>
        <v>2297570</v>
      </c>
      <c r="G574" s="16" t="s">
        <v>338</v>
      </c>
      <c r="H574" s="17">
        <v>43068</v>
      </c>
      <c r="I574" s="18">
        <v>30000</v>
      </c>
      <c r="J574" s="19">
        <v>0</v>
      </c>
      <c r="L574" s="16" t="s">
        <v>290</v>
      </c>
      <c r="M574" s="16" t="s">
        <v>2812</v>
      </c>
      <c r="N574" s="16" t="s">
        <v>2813</v>
      </c>
    </row>
    <row r="575" spans="1:14" ht="20.100000000000001" customHeight="1" x14ac:dyDescent="0.25">
      <c r="A575" s="15" t="s">
        <v>2814</v>
      </c>
      <c r="B575" s="16" t="s">
        <v>330</v>
      </c>
      <c r="C575" s="15">
        <v>8100502</v>
      </c>
      <c r="D575" s="16" t="s">
        <v>67</v>
      </c>
      <c r="E575" s="15" t="s">
        <v>2815</v>
      </c>
      <c r="F575" s="21" t="str">
        <f>HYPERLINK("https://psearch.kitsapgov.com/webappa/index.html?parcelID=2369387&amp;Theme=Imagery","2369387")</f>
        <v>2369387</v>
      </c>
      <c r="G575" s="16" t="s">
        <v>2816</v>
      </c>
      <c r="H575" s="17">
        <v>43066</v>
      </c>
      <c r="I575" s="18">
        <v>490000</v>
      </c>
      <c r="J575" s="19">
        <v>1.9</v>
      </c>
      <c r="K575" s="16" t="s">
        <v>173</v>
      </c>
      <c r="L575" s="16" t="s">
        <v>981</v>
      </c>
      <c r="M575" s="16" t="s">
        <v>2817</v>
      </c>
      <c r="N575" s="16" t="s">
        <v>2818</v>
      </c>
    </row>
    <row r="576" spans="1:14" ht="20.100000000000001" customHeight="1" x14ac:dyDescent="0.25">
      <c r="A576" s="15" t="s">
        <v>2819</v>
      </c>
      <c r="B576" s="16" t="s">
        <v>2598</v>
      </c>
      <c r="C576" s="15">
        <v>8100502</v>
      </c>
      <c r="D576" s="16" t="s">
        <v>67</v>
      </c>
      <c r="E576" s="15" t="s">
        <v>2820</v>
      </c>
      <c r="F576" s="21" t="str">
        <f>HYPERLINK("https://psearch.kitsapgov.com/webappa/index.html?parcelID=2415552&amp;Theme=Imagery","2415552")</f>
        <v>2415552</v>
      </c>
      <c r="G576" s="16" t="s">
        <v>2821</v>
      </c>
      <c r="H576" s="17">
        <v>43066</v>
      </c>
      <c r="I576" s="18">
        <v>975000</v>
      </c>
      <c r="J576" s="19">
        <v>3.47</v>
      </c>
      <c r="K576" s="16" t="s">
        <v>173</v>
      </c>
      <c r="L576" s="16" t="s">
        <v>981</v>
      </c>
      <c r="M576" s="16" t="s">
        <v>2822</v>
      </c>
      <c r="N576" s="16" t="s">
        <v>2818</v>
      </c>
    </row>
    <row r="577" spans="1:14" ht="20.100000000000001" customHeight="1" x14ac:dyDescent="0.25">
      <c r="A577" s="15" t="s">
        <v>2823</v>
      </c>
      <c r="B577" s="16" t="s">
        <v>1816</v>
      </c>
      <c r="C577" s="15">
        <v>9100543</v>
      </c>
      <c r="D577" s="16" t="s">
        <v>807</v>
      </c>
      <c r="E577" s="15" t="s">
        <v>2824</v>
      </c>
      <c r="F577" s="21" t="str">
        <f>HYPERLINK("https://psearch.kitsapgov.com/webappa/index.html?parcelID=1475284&amp;Theme=Imagery","1475284")</f>
        <v>1475284</v>
      </c>
      <c r="G577" s="16" t="s">
        <v>2825</v>
      </c>
      <c r="H577" s="17">
        <v>43069</v>
      </c>
      <c r="I577" s="18">
        <v>1800000</v>
      </c>
      <c r="J577" s="19">
        <v>0.76</v>
      </c>
      <c r="K577" s="16" t="s">
        <v>839</v>
      </c>
      <c r="L577" s="16" t="s">
        <v>38</v>
      </c>
      <c r="M577" s="16" t="s">
        <v>2826</v>
      </c>
      <c r="N577" s="16" t="s">
        <v>2827</v>
      </c>
    </row>
    <row r="578" spans="1:14" ht="20.100000000000001" customHeight="1" x14ac:dyDescent="0.25">
      <c r="A578" s="15" t="s">
        <v>2828</v>
      </c>
      <c r="B578" s="16" t="s">
        <v>66</v>
      </c>
      <c r="C578" s="15">
        <v>8401104</v>
      </c>
      <c r="D578" s="16" t="s">
        <v>144</v>
      </c>
      <c r="E578" s="15" t="s">
        <v>2829</v>
      </c>
      <c r="F578" s="21" t="str">
        <f>HYPERLINK("https://psearch.kitsapgov.com/webappa/index.html?parcelID=1240514&amp;Theme=Imagery","1240514")</f>
        <v>1240514</v>
      </c>
      <c r="G578" s="16" t="s">
        <v>2830</v>
      </c>
      <c r="H578" s="17">
        <v>43068</v>
      </c>
      <c r="I578" s="18">
        <v>2100000</v>
      </c>
      <c r="J578" s="19">
        <v>3.2</v>
      </c>
      <c r="K578" s="16" t="s">
        <v>61</v>
      </c>
      <c r="L578" s="16" t="s">
        <v>38</v>
      </c>
      <c r="M578" s="16" t="s">
        <v>2831</v>
      </c>
      <c r="N578" s="16" t="s">
        <v>2832</v>
      </c>
    </row>
    <row r="579" spans="1:14" ht="20.100000000000001" customHeight="1" x14ac:dyDescent="0.25">
      <c r="A579" s="15" t="s">
        <v>2833</v>
      </c>
      <c r="B579" s="16" t="s">
        <v>286</v>
      </c>
      <c r="C579" s="15">
        <v>8303660</v>
      </c>
      <c r="D579" s="16" t="s">
        <v>313</v>
      </c>
      <c r="E579" s="15" t="s">
        <v>2834</v>
      </c>
      <c r="F579" s="21" t="str">
        <f>HYPERLINK("https://psearch.kitsapgov.com/webappa/index.html?parcelID=1881150&amp;Theme=Imagery","1881150")</f>
        <v>1881150</v>
      </c>
      <c r="G579" s="16" t="s">
        <v>2835</v>
      </c>
      <c r="H579" s="17">
        <v>43068</v>
      </c>
      <c r="I579" s="18">
        <v>85000</v>
      </c>
      <c r="J579" s="19">
        <v>0</v>
      </c>
      <c r="L579" s="16" t="s">
        <v>290</v>
      </c>
      <c r="M579" s="16" t="s">
        <v>2836</v>
      </c>
      <c r="N579" s="16" t="s">
        <v>2837</v>
      </c>
    </row>
    <row r="580" spans="1:14" ht="20.100000000000001" customHeight="1" x14ac:dyDescent="0.25">
      <c r="A580" s="15" t="s">
        <v>2838</v>
      </c>
      <c r="B580" s="16" t="s">
        <v>57</v>
      </c>
      <c r="C580" s="15">
        <v>8400202</v>
      </c>
      <c r="D580" s="16" t="s">
        <v>158</v>
      </c>
      <c r="E580" s="15" t="s">
        <v>2839</v>
      </c>
      <c r="F580" s="21" t="str">
        <f>HYPERLINK("https://psearch.kitsapgov.com/webappa/index.html?parcelID=1329499&amp;Theme=Imagery","1329499")</f>
        <v>1329499</v>
      </c>
      <c r="G580" s="16" t="s">
        <v>2840</v>
      </c>
      <c r="H580" s="17">
        <v>43061</v>
      </c>
      <c r="I580" s="18">
        <v>120000</v>
      </c>
      <c r="J580" s="19">
        <v>1.94</v>
      </c>
      <c r="K580" s="16" t="s">
        <v>100</v>
      </c>
      <c r="L580" s="16" t="s">
        <v>38</v>
      </c>
      <c r="M580" s="16" t="s">
        <v>2841</v>
      </c>
      <c r="N580" s="16" t="s">
        <v>2842</v>
      </c>
    </row>
    <row r="581" spans="1:14" ht="20.100000000000001" customHeight="1" x14ac:dyDescent="0.25">
      <c r="A581" s="15" t="s">
        <v>2843</v>
      </c>
      <c r="B581" s="16" t="s">
        <v>89</v>
      </c>
      <c r="C581" s="15">
        <v>8100510</v>
      </c>
      <c r="D581" s="16" t="s">
        <v>401</v>
      </c>
      <c r="E581" s="15" t="s">
        <v>2844</v>
      </c>
      <c r="F581" s="21" t="str">
        <f>HYPERLINK("https://psearch.kitsapgov.com/webappa/index.html?parcelID=1438522&amp;Theme=Imagery","1438522")</f>
        <v>1438522</v>
      </c>
      <c r="G581" s="16" t="s">
        <v>2845</v>
      </c>
      <c r="H581" s="17">
        <v>43069</v>
      </c>
      <c r="I581" s="18">
        <v>220000</v>
      </c>
      <c r="J581" s="19">
        <v>0.1</v>
      </c>
      <c r="K581" s="16" t="s">
        <v>28</v>
      </c>
      <c r="L581" s="16" t="s">
        <v>38</v>
      </c>
      <c r="M581" s="16" t="s">
        <v>2846</v>
      </c>
      <c r="N581" s="16" t="s">
        <v>2847</v>
      </c>
    </row>
    <row r="582" spans="1:14" ht="20.100000000000001" customHeight="1" x14ac:dyDescent="0.25">
      <c r="A582" s="15" t="s">
        <v>2848</v>
      </c>
      <c r="B582" s="16" t="s">
        <v>49</v>
      </c>
      <c r="C582" s="15">
        <v>8303601</v>
      </c>
      <c r="D582" s="16" t="s">
        <v>50</v>
      </c>
      <c r="E582" s="15" t="s">
        <v>2849</v>
      </c>
      <c r="F582" s="21" t="str">
        <f>HYPERLINK("https://psearch.kitsapgov.com/webappa/index.html?parcelID=2303246&amp;Theme=Imagery","2303246")</f>
        <v>2303246</v>
      </c>
      <c r="G582" s="16" t="s">
        <v>1685</v>
      </c>
      <c r="H582" s="17">
        <v>43070</v>
      </c>
      <c r="I582" s="18">
        <v>465000</v>
      </c>
      <c r="J582" s="19">
        <v>0.22</v>
      </c>
      <c r="K582" s="16" t="s">
        <v>205</v>
      </c>
      <c r="L582" s="16" t="s">
        <v>38</v>
      </c>
      <c r="M582" s="16" t="s">
        <v>2850</v>
      </c>
      <c r="N582" s="16" t="s">
        <v>2851</v>
      </c>
    </row>
    <row r="583" spans="1:14" ht="20.100000000000001" customHeight="1" x14ac:dyDescent="0.25">
      <c r="A583" s="15" t="s">
        <v>2852</v>
      </c>
      <c r="B583" s="16" t="s">
        <v>330</v>
      </c>
      <c r="C583" s="15">
        <v>8400201</v>
      </c>
      <c r="D583" s="16" t="s">
        <v>941</v>
      </c>
      <c r="E583" s="15" t="s">
        <v>2853</v>
      </c>
      <c r="F583" s="21" t="str">
        <f>HYPERLINK("https://psearch.kitsapgov.com/webappa/index.html?parcelID=1550979&amp;Theme=Imagery","1550979")</f>
        <v>1550979</v>
      </c>
      <c r="G583" s="16" t="s">
        <v>2854</v>
      </c>
      <c r="H583" s="17">
        <v>43069</v>
      </c>
      <c r="I583" s="18">
        <v>200000</v>
      </c>
      <c r="J583" s="19">
        <v>0.05</v>
      </c>
      <c r="K583" s="16" t="s">
        <v>944</v>
      </c>
      <c r="L583" s="16" t="s">
        <v>20</v>
      </c>
      <c r="M583" s="16" t="s">
        <v>2855</v>
      </c>
      <c r="N583" s="16" t="s">
        <v>2856</v>
      </c>
    </row>
    <row r="584" spans="1:14" ht="20.100000000000001" customHeight="1" x14ac:dyDescent="0.25">
      <c r="A584" s="15" t="s">
        <v>2857</v>
      </c>
      <c r="B584" s="16" t="s">
        <v>347</v>
      </c>
      <c r="C584" s="15">
        <v>8401102</v>
      </c>
      <c r="D584" s="16" t="s">
        <v>766</v>
      </c>
      <c r="E584" s="15" t="s">
        <v>2858</v>
      </c>
      <c r="F584" s="21" t="str">
        <f>HYPERLINK("https://psearch.kitsapgov.com/webappa/index.html?parcelID=2611903&amp;Theme=Imagery","2611903")</f>
        <v>2611903</v>
      </c>
      <c r="G584" s="16" t="s">
        <v>2859</v>
      </c>
      <c r="H584" s="17">
        <v>43045</v>
      </c>
      <c r="I584" s="18">
        <v>1150</v>
      </c>
      <c r="J584" s="19">
        <v>0.11</v>
      </c>
      <c r="K584" s="16" t="s">
        <v>309</v>
      </c>
      <c r="L584" s="16" t="s">
        <v>1169</v>
      </c>
      <c r="M584" s="16" t="s">
        <v>2860</v>
      </c>
      <c r="N584" s="16" t="s">
        <v>710</v>
      </c>
    </row>
    <row r="585" spans="1:14" ht="20.100000000000001" customHeight="1" x14ac:dyDescent="0.25">
      <c r="A585" s="15" t="s">
        <v>2861</v>
      </c>
      <c r="B585" s="16" t="s">
        <v>628</v>
      </c>
      <c r="C585" s="15">
        <v>8401102</v>
      </c>
      <c r="D585" s="16" t="s">
        <v>766</v>
      </c>
      <c r="E585" s="15" t="s">
        <v>979</v>
      </c>
      <c r="F585" s="21" t="str">
        <f>HYPERLINK("https://psearch.kitsapgov.com/webappa/index.html?parcelID=1658889&amp;Theme=Imagery","1658889")</f>
        <v>1658889</v>
      </c>
      <c r="G585" s="16" t="s">
        <v>980</v>
      </c>
      <c r="H585" s="17">
        <v>43063</v>
      </c>
      <c r="I585" s="18">
        <v>2090</v>
      </c>
      <c r="J585" s="19">
        <v>0.25</v>
      </c>
      <c r="K585" s="16" t="s">
        <v>188</v>
      </c>
      <c r="L585" s="16" t="s">
        <v>1169</v>
      </c>
      <c r="M585" s="16" t="s">
        <v>983</v>
      </c>
      <c r="N585" s="16" t="s">
        <v>710</v>
      </c>
    </row>
    <row r="586" spans="1:14" ht="20.100000000000001" customHeight="1" x14ac:dyDescent="0.25">
      <c r="A586" s="15" t="s">
        <v>2862</v>
      </c>
      <c r="B586" s="16" t="s">
        <v>286</v>
      </c>
      <c r="C586" s="15">
        <v>8400206</v>
      </c>
      <c r="D586" s="16" t="s">
        <v>287</v>
      </c>
      <c r="E586" s="15" t="s">
        <v>2863</v>
      </c>
      <c r="F586" s="21" t="str">
        <f>HYPERLINK("https://psearch.kitsapgov.com/webappa/index.html?parcelID=2071637&amp;Theme=Imagery","2071637")</f>
        <v>2071637</v>
      </c>
      <c r="G586" s="16" t="s">
        <v>1312</v>
      </c>
      <c r="H586" s="17">
        <v>43076</v>
      </c>
      <c r="I586" s="18">
        <v>27000</v>
      </c>
      <c r="J586" s="19">
        <v>0</v>
      </c>
      <c r="L586" s="16" t="s">
        <v>290</v>
      </c>
      <c r="M586" s="16" t="s">
        <v>2864</v>
      </c>
      <c r="N586" s="16" t="s">
        <v>2865</v>
      </c>
    </row>
    <row r="587" spans="1:14" ht="20.100000000000001" customHeight="1" x14ac:dyDescent="0.25">
      <c r="A587" s="15" t="s">
        <v>2866</v>
      </c>
      <c r="B587" s="16" t="s">
        <v>74</v>
      </c>
      <c r="C587" s="15">
        <v>8400204</v>
      </c>
      <c r="D587" s="16" t="s">
        <v>178</v>
      </c>
      <c r="E587" s="15" t="s">
        <v>2867</v>
      </c>
      <c r="F587" s="21" t="str">
        <f>HYPERLINK("https://psearch.kitsapgov.com/webappa/index.html?parcelID=2258705&amp;Theme=Imagery","2258705")</f>
        <v>2258705</v>
      </c>
      <c r="G587" s="16" t="s">
        <v>2868</v>
      </c>
      <c r="H587" s="17">
        <v>43066</v>
      </c>
      <c r="I587" s="18">
        <v>5300000</v>
      </c>
      <c r="J587" s="19">
        <v>2.92</v>
      </c>
      <c r="K587" s="16" t="s">
        <v>181</v>
      </c>
      <c r="L587" s="16" t="s">
        <v>38</v>
      </c>
      <c r="M587" s="16" t="s">
        <v>2869</v>
      </c>
      <c r="N587" s="16" t="s">
        <v>2870</v>
      </c>
    </row>
    <row r="588" spans="1:14" ht="20.100000000000001" customHeight="1" x14ac:dyDescent="0.25">
      <c r="A588" s="15" t="s">
        <v>2871</v>
      </c>
      <c r="B588" s="16" t="s">
        <v>89</v>
      </c>
      <c r="C588" s="15">
        <v>8401101</v>
      </c>
      <c r="D588" s="16" t="s">
        <v>185</v>
      </c>
      <c r="E588" s="15" t="s">
        <v>222</v>
      </c>
      <c r="F588" s="21" t="str">
        <f>HYPERLINK("https://psearch.kitsapgov.com/webappa/index.html?parcelID=2351823&amp;Theme=Imagery","2351823")</f>
        <v>2351823</v>
      </c>
      <c r="G588" s="16" t="s">
        <v>223</v>
      </c>
      <c r="H588" s="17">
        <v>43084</v>
      </c>
      <c r="I588" s="18">
        <v>5300000</v>
      </c>
      <c r="J588" s="19">
        <v>5.43</v>
      </c>
      <c r="K588" s="16" t="s">
        <v>188</v>
      </c>
      <c r="L588" s="16" t="s">
        <v>79</v>
      </c>
      <c r="M588" s="16" t="s">
        <v>225</v>
      </c>
      <c r="N588" s="16" t="s">
        <v>2872</v>
      </c>
    </row>
    <row r="589" spans="1:14" ht="20.100000000000001" customHeight="1" x14ac:dyDescent="0.25">
      <c r="A589" s="15" t="s">
        <v>2873</v>
      </c>
      <c r="B589" s="16" t="s">
        <v>381</v>
      </c>
      <c r="C589" s="15">
        <v>9100541</v>
      </c>
      <c r="D589" s="16" t="s">
        <v>215</v>
      </c>
      <c r="E589" s="15" t="s">
        <v>2874</v>
      </c>
      <c r="F589" s="21" t="str">
        <f>HYPERLINK("https://psearch.kitsapgov.com/webappa/index.html?parcelID=1441401&amp;Theme=Imagery","1441401")</f>
        <v>1441401</v>
      </c>
      <c r="G589" s="16" t="s">
        <v>2875</v>
      </c>
      <c r="H589" s="17">
        <v>43089</v>
      </c>
      <c r="I589" s="18">
        <v>950000</v>
      </c>
      <c r="J589" s="19">
        <v>0.17</v>
      </c>
      <c r="K589" s="16" t="s">
        <v>235</v>
      </c>
      <c r="L589" s="16" t="s">
        <v>38</v>
      </c>
      <c r="M589" s="16" t="s">
        <v>2876</v>
      </c>
      <c r="N589" s="16" t="s">
        <v>2877</v>
      </c>
    </row>
    <row r="590" spans="1:14" ht="20.100000000000001" customHeight="1" x14ac:dyDescent="0.25">
      <c r="A590" s="15" t="s">
        <v>2878</v>
      </c>
      <c r="B590" s="16" t="s">
        <v>286</v>
      </c>
      <c r="C590" s="15">
        <v>8400206</v>
      </c>
      <c r="D590" s="16" t="s">
        <v>287</v>
      </c>
      <c r="E590" s="15" t="s">
        <v>2879</v>
      </c>
      <c r="F590" s="21" t="str">
        <f>HYPERLINK("https://psearch.kitsapgov.com/webappa/index.html?parcelID=2071405&amp;Theme=Imagery","2071405")</f>
        <v>2071405</v>
      </c>
      <c r="G590" s="16" t="s">
        <v>1312</v>
      </c>
      <c r="H590" s="17">
        <v>43081</v>
      </c>
      <c r="I590" s="18">
        <v>25000</v>
      </c>
      <c r="J590" s="19">
        <v>0</v>
      </c>
      <c r="L590" s="16" t="s">
        <v>38</v>
      </c>
      <c r="M590" s="16" t="s">
        <v>2880</v>
      </c>
      <c r="N590" s="16" t="s">
        <v>2804</v>
      </c>
    </row>
    <row r="591" spans="1:14" ht="20.100000000000001" customHeight="1" x14ac:dyDescent="0.25">
      <c r="A591" s="15" t="s">
        <v>2881</v>
      </c>
      <c r="B591" s="16" t="s">
        <v>143</v>
      </c>
      <c r="C591" s="15">
        <v>8401508</v>
      </c>
      <c r="D591" s="16" t="s">
        <v>90</v>
      </c>
      <c r="E591" s="15" t="s">
        <v>2516</v>
      </c>
      <c r="F591" s="21" t="str">
        <f>HYPERLINK("https://psearch.kitsapgov.com/webappa/index.html?parcelID=1256361&amp;Theme=Imagery","1256361")</f>
        <v>1256361</v>
      </c>
      <c r="G591" s="16" t="s">
        <v>2517</v>
      </c>
      <c r="H591" s="17">
        <v>43095</v>
      </c>
      <c r="I591" s="18">
        <v>20000</v>
      </c>
      <c r="J591" s="19">
        <v>3.24</v>
      </c>
      <c r="K591" s="16" t="s">
        <v>78</v>
      </c>
      <c r="L591" s="16" t="s">
        <v>246</v>
      </c>
      <c r="M591" s="16" t="s">
        <v>2882</v>
      </c>
      <c r="N591" s="16" t="s">
        <v>2883</v>
      </c>
    </row>
    <row r="592" spans="1:14" ht="20.100000000000001" customHeight="1" x14ac:dyDescent="0.25">
      <c r="A592" s="15" t="s">
        <v>2884</v>
      </c>
      <c r="B592" s="16" t="s">
        <v>33</v>
      </c>
      <c r="C592" s="15">
        <v>8100501</v>
      </c>
      <c r="D592" s="16" t="s">
        <v>117</v>
      </c>
      <c r="E592" s="15" t="s">
        <v>2885</v>
      </c>
      <c r="F592" s="21" t="str">
        <f>HYPERLINK("https://psearch.kitsapgov.com/webappa/index.html?parcelID=1427483&amp;Theme=Imagery","1427483")</f>
        <v>1427483</v>
      </c>
      <c r="G592" s="16" t="s">
        <v>2886</v>
      </c>
      <c r="H592" s="17">
        <v>43095</v>
      </c>
      <c r="I592" s="18">
        <v>280000</v>
      </c>
      <c r="J592" s="19">
        <v>7.0000000000000007E-2</v>
      </c>
      <c r="K592" s="16" t="s">
        <v>2887</v>
      </c>
      <c r="L592" s="16" t="s">
        <v>38</v>
      </c>
      <c r="M592" s="16" t="s">
        <v>2888</v>
      </c>
      <c r="N592" s="16" t="s">
        <v>2889</v>
      </c>
    </row>
    <row r="593" spans="1:14" ht="20.100000000000001" customHeight="1" x14ac:dyDescent="0.25">
      <c r="A593" s="15" t="s">
        <v>2890</v>
      </c>
      <c r="B593" s="16" t="s">
        <v>318</v>
      </c>
      <c r="C593" s="15">
        <v>8402391</v>
      </c>
      <c r="D593" s="16" t="s">
        <v>227</v>
      </c>
      <c r="E593" s="15" t="s">
        <v>2891</v>
      </c>
      <c r="F593" s="21" t="str">
        <f>HYPERLINK("https://psearch.kitsapgov.com/webappa/index.html?parcelID=2288843&amp;Theme=Imagery","2288843")</f>
        <v>2288843</v>
      </c>
      <c r="G593" s="16" t="s">
        <v>338</v>
      </c>
      <c r="H593" s="17">
        <v>42935</v>
      </c>
      <c r="I593" s="18">
        <v>41000</v>
      </c>
      <c r="J593" s="19">
        <v>0</v>
      </c>
      <c r="L593" s="16" t="s">
        <v>290</v>
      </c>
      <c r="M593" s="16" t="s">
        <v>2892</v>
      </c>
      <c r="N593" s="16" t="s">
        <v>2893</v>
      </c>
    </row>
    <row r="594" spans="1:14" ht="20.100000000000001" customHeight="1" x14ac:dyDescent="0.25">
      <c r="A594" s="15" t="s">
        <v>2894</v>
      </c>
      <c r="B594" s="16" t="s">
        <v>33</v>
      </c>
      <c r="C594" s="15">
        <v>8400202</v>
      </c>
      <c r="D594" s="16" t="s">
        <v>158</v>
      </c>
      <c r="E594" s="15" t="s">
        <v>2895</v>
      </c>
      <c r="F594" s="21" t="str">
        <f>HYPERLINK("https://psearch.kitsapgov.com/webappa/index.html?parcelID=1340389&amp;Theme=Imagery","1340389")</f>
        <v>1340389</v>
      </c>
      <c r="G594" s="16" t="s">
        <v>2896</v>
      </c>
      <c r="H594" s="17">
        <v>43098</v>
      </c>
      <c r="I594" s="18">
        <v>2500000</v>
      </c>
      <c r="J594" s="19">
        <v>1.71</v>
      </c>
      <c r="K594" s="16" t="s">
        <v>100</v>
      </c>
      <c r="L594" s="16" t="s">
        <v>38</v>
      </c>
      <c r="M594" s="16" t="s">
        <v>2897</v>
      </c>
      <c r="N594" s="16" t="s">
        <v>2898</v>
      </c>
    </row>
    <row r="595" spans="1:14" ht="20.100000000000001" customHeight="1" x14ac:dyDescent="0.25">
      <c r="A595" s="15" t="s">
        <v>2899</v>
      </c>
      <c r="B595" s="16" t="s">
        <v>49</v>
      </c>
      <c r="C595" s="15">
        <v>9303604</v>
      </c>
      <c r="D595" s="16" t="s">
        <v>967</v>
      </c>
      <c r="E595" s="15" t="s">
        <v>2900</v>
      </c>
      <c r="F595" s="21" t="str">
        <f>HYPERLINK("https://psearch.kitsapgov.com/webappa/index.html?parcelID=1307875&amp;Theme=Imagery","1307875")</f>
        <v>1307875</v>
      </c>
      <c r="G595" s="16" t="s">
        <v>2901</v>
      </c>
      <c r="H595" s="17">
        <v>43097</v>
      </c>
      <c r="I595" s="18">
        <v>487500</v>
      </c>
      <c r="J595" s="19">
        <v>0.28999999999999998</v>
      </c>
      <c r="K595" s="16" t="s">
        <v>53</v>
      </c>
      <c r="L595" s="16" t="s">
        <v>38</v>
      </c>
      <c r="M595" s="16" t="s">
        <v>2902</v>
      </c>
      <c r="N595" s="16" t="s">
        <v>2903</v>
      </c>
    </row>
    <row r="596" spans="1:14" ht="20.100000000000001" customHeight="1" x14ac:dyDescent="0.25">
      <c r="A596" s="15" t="s">
        <v>2904</v>
      </c>
      <c r="B596" s="16" t="s">
        <v>442</v>
      </c>
      <c r="C596" s="15">
        <v>8402307</v>
      </c>
      <c r="D596" s="16" t="s">
        <v>151</v>
      </c>
      <c r="E596" s="15" t="s">
        <v>2905</v>
      </c>
      <c r="F596" s="21" t="str">
        <f>HYPERLINK("https://psearch.kitsapgov.com/webappa/index.html?parcelID=1974682&amp;Theme=Imagery","1974682")</f>
        <v>1974682</v>
      </c>
      <c r="G596" s="16" t="s">
        <v>2906</v>
      </c>
      <c r="H596" s="17">
        <v>43104</v>
      </c>
      <c r="I596" s="18">
        <v>515000</v>
      </c>
      <c r="J596" s="19">
        <v>0.63</v>
      </c>
      <c r="K596" s="16" t="s">
        <v>154</v>
      </c>
      <c r="L596" s="16" t="s">
        <v>20</v>
      </c>
      <c r="M596" s="16" t="s">
        <v>2907</v>
      </c>
      <c r="N596" s="16" t="s">
        <v>2908</v>
      </c>
    </row>
    <row r="597" spans="1:14" ht="20.100000000000001" customHeight="1" x14ac:dyDescent="0.25">
      <c r="A597" s="15" t="s">
        <v>2909</v>
      </c>
      <c r="B597" s="16" t="s">
        <v>57</v>
      </c>
      <c r="C597" s="15">
        <v>8401102</v>
      </c>
      <c r="D597" s="16" t="s">
        <v>766</v>
      </c>
      <c r="E597" s="15" t="s">
        <v>2910</v>
      </c>
      <c r="F597" s="21" t="str">
        <f>HYPERLINK("https://psearch.kitsapgov.com/webappa/index.html?parcelID=1658947&amp;Theme=Imagery","1658947")</f>
        <v>1658947</v>
      </c>
      <c r="G597" s="16" t="s">
        <v>2911</v>
      </c>
      <c r="H597" s="17">
        <v>43080</v>
      </c>
      <c r="I597" s="18">
        <v>500</v>
      </c>
      <c r="J597" s="19">
        <v>0.25</v>
      </c>
      <c r="K597" s="16" t="s">
        <v>309</v>
      </c>
      <c r="L597" s="16" t="s">
        <v>1169</v>
      </c>
      <c r="M597" s="16" t="s">
        <v>2912</v>
      </c>
      <c r="N597" s="16" t="s">
        <v>710</v>
      </c>
    </row>
    <row r="598" spans="1:14" ht="20.100000000000001" customHeight="1" x14ac:dyDescent="0.25">
      <c r="A598" s="15" t="s">
        <v>2913</v>
      </c>
      <c r="B598" s="16" t="s">
        <v>239</v>
      </c>
      <c r="C598" s="15">
        <v>8401101</v>
      </c>
      <c r="D598" s="16" t="s">
        <v>185</v>
      </c>
      <c r="E598" s="15" t="s">
        <v>2914</v>
      </c>
      <c r="F598" s="21" t="str">
        <f>HYPERLINK("https://psearch.kitsapgov.com/webappa/index.html?parcelID=2418523&amp;Theme=Imagery","2418523")</f>
        <v>2418523</v>
      </c>
      <c r="G598" s="16" t="s">
        <v>2915</v>
      </c>
      <c r="H598" s="17">
        <v>43080</v>
      </c>
      <c r="I598" s="18">
        <v>8300</v>
      </c>
      <c r="J598" s="19">
        <v>0.52</v>
      </c>
      <c r="K598" s="16" t="s">
        <v>188</v>
      </c>
      <c r="L598" s="16" t="s">
        <v>1169</v>
      </c>
      <c r="M598" s="16" t="s">
        <v>2916</v>
      </c>
      <c r="N598" s="16" t="s">
        <v>710</v>
      </c>
    </row>
    <row r="599" spans="1:14" ht="20.100000000000001" customHeight="1" x14ac:dyDescent="0.25">
      <c r="A599" s="15" t="s">
        <v>2917</v>
      </c>
      <c r="B599" s="16" t="s">
        <v>96</v>
      </c>
      <c r="C599" s="15">
        <v>8303601</v>
      </c>
      <c r="D599" s="16" t="s">
        <v>50</v>
      </c>
      <c r="E599" s="15" t="s">
        <v>2918</v>
      </c>
      <c r="F599" s="21" t="str">
        <f>HYPERLINK("https://psearch.kitsapgov.com/webappa/index.html?parcelID=2059814&amp;Theme=Imagery","2059814")</f>
        <v>2059814</v>
      </c>
      <c r="G599" s="16" t="s">
        <v>2919</v>
      </c>
      <c r="H599" s="17">
        <v>43102</v>
      </c>
      <c r="I599" s="18">
        <v>955000</v>
      </c>
      <c r="J599" s="19">
        <v>0.4</v>
      </c>
      <c r="K599" s="16" t="s">
        <v>205</v>
      </c>
      <c r="L599" s="16" t="s">
        <v>38</v>
      </c>
      <c r="M599" s="16" t="s">
        <v>2920</v>
      </c>
      <c r="N599" s="16" t="s">
        <v>2921</v>
      </c>
    </row>
    <row r="600" spans="1:14" ht="20.100000000000001" customHeight="1" x14ac:dyDescent="0.25">
      <c r="A600" s="15" t="s">
        <v>2922</v>
      </c>
      <c r="B600" s="16" t="s">
        <v>628</v>
      </c>
      <c r="C600" s="15">
        <v>9100592</v>
      </c>
      <c r="D600" s="16" t="s">
        <v>105</v>
      </c>
      <c r="E600" s="15" t="s">
        <v>2923</v>
      </c>
      <c r="F600" s="21" t="str">
        <f>HYPERLINK("https://psearch.kitsapgov.com/webappa/index.html?parcelID=1105618&amp;Theme=Imagery","1105618")</f>
        <v>1105618</v>
      </c>
      <c r="G600" s="16" t="s">
        <v>2924</v>
      </c>
      <c r="H600" s="17">
        <v>43111</v>
      </c>
      <c r="I600" s="18">
        <v>110000</v>
      </c>
      <c r="J600" s="19">
        <v>0.22</v>
      </c>
      <c r="K600" s="16" t="s">
        <v>108</v>
      </c>
      <c r="L600" s="16" t="s">
        <v>856</v>
      </c>
      <c r="M600" s="16" t="s">
        <v>2925</v>
      </c>
      <c r="N600" s="16" t="s">
        <v>2926</v>
      </c>
    </row>
    <row r="601" spans="1:14" ht="20.100000000000001" customHeight="1" x14ac:dyDescent="0.25">
      <c r="A601" s="15" t="s">
        <v>2927</v>
      </c>
      <c r="B601" s="16" t="s">
        <v>89</v>
      </c>
      <c r="C601" s="15">
        <v>8100510</v>
      </c>
      <c r="D601" s="16" t="s">
        <v>401</v>
      </c>
      <c r="E601" s="15" t="s">
        <v>2928</v>
      </c>
      <c r="F601" s="21" t="str">
        <f>HYPERLINK("https://psearch.kitsapgov.com/webappa/index.html?parcelID=1438407&amp;Theme=Imagery","1438407")</f>
        <v>1438407</v>
      </c>
      <c r="G601" s="16" t="s">
        <v>2929</v>
      </c>
      <c r="H601" s="17">
        <v>43088</v>
      </c>
      <c r="I601" s="18">
        <v>275000</v>
      </c>
      <c r="J601" s="19">
        <v>0.21</v>
      </c>
      <c r="K601" s="16" t="s">
        <v>28</v>
      </c>
      <c r="L601" s="16" t="s">
        <v>20</v>
      </c>
      <c r="M601" s="16" t="s">
        <v>2930</v>
      </c>
      <c r="N601" s="16" t="s">
        <v>2931</v>
      </c>
    </row>
    <row r="602" spans="1:14" ht="20.100000000000001" customHeight="1" x14ac:dyDescent="0.25">
      <c r="A602" s="15" t="s">
        <v>2932</v>
      </c>
      <c r="B602" s="16" t="s">
        <v>89</v>
      </c>
      <c r="C602" s="15">
        <v>8401102</v>
      </c>
      <c r="D602" s="16" t="s">
        <v>766</v>
      </c>
      <c r="E602" s="15" t="s">
        <v>2933</v>
      </c>
      <c r="F602" s="21" t="str">
        <f>HYPERLINK("https://psearch.kitsapgov.com/webappa/index.html?parcelID=1659010&amp;Theme=Imagery","1659010")</f>
        <v>1659010</v>
      </c>
      <c r="G602" s="16" t="s">
        <v>2934</v>
      </c>
      <c r="H602" s="17">
        <v>43104</v>
      </c>
      <c r="I602" s="18">
        <v>500</v>
      </c>
      <c r="J602" s="19">
        <v>0.11</v>
      </c>
      <c r="K602" s="16" t="s">
        <v>309</v>
      </c>
      <c r="L602" s="16" t="s">
        <v>1169</v>
      </c>
      <c r="M602" s="16" t="s">
        <v>2935</v>
      </c>
      <c r="N602" s="16" t="s">
        <v>710</v>
      </c>
    </row>
    <row r="603" spans="1:14" ht="20.100000000000001" customHeight="1" x14ac:dyDescent="0.25">
      <c r="A603" s="15" t="s">
        <v>2936</v>
      </c>
      <c r="B603" s="16" t="s">
        <v>347</v>
      </c>
      <c r="C603" s="15">
        <v>8100502</v>
      </c>
      <c r="D603" s="16" t="s">
        <v>67</v>
      </c>
      <c r="E603" s="15" t="s">
        <v>2937</v>
      </c>
      <c r="F603" s="21" t="str">
        <f>HYPERLINK("https://psearch.kitsapgov.com/webappa/index.html?parcelID=1469816&amp;Theme=Imagery","1469816")</f>
        <v>1469816</v>
      </c>
      <c r="G603" s="16" t="s">
        <v>2938</v>
      </c>
      <c r="H603" s="17">
        <v>43118</v>
      </c>
      <c r="I603" s="18">
        <v>376005</v>
      </c>
      <c r="J603" s="19">
        <v>0.31</v>
      </c>
      <c r="K603" s="16" t="s">
        <v>839</v>
      </c>
      <c r="L603" s="16" t="s">
        <v>38</v>
      </c>
      <c r="M603" s="16" t="s">
        <v>2939</v>
      </c>
      <c r="N603" s="16" t="s">
        <v>2940</v>
      </c>
    </row>
    <row r="604" spans="1:14" ht="20.100000000000001" customHeight="1" x14ac:dyDescent="0.25">
      <c r="A604" s="15" t="s">
        <v>2941</v>
      </c>
      <c r="B604" s="16" t="s">
        <v>96</v>
      </c>
      <c r="C604" s="15">
        <v>8402307</v>
      </c>
      <c r="D604" s="16" t="s">
        <v>151</v>
      </c>
      <c r="E604" s="15" t="s">
        <v>2942</v>
      </c>
      <c r="F604" s="21" t="str">
        <f>HYPERLINK("https://psearch.kitsapgov.com/webappa/index.html?parcelID=2069748&amp;Theme=Imagery","2069748")</f>
        <v>2069748</v>
      </c>
      <c r="G604" s="16" t="s">
        <v>2943</v>
      </c>
      <c r="H604" s="17">
        <v>43118</v>
      </c>
      <c r="I604" s="18">
        <v>500000</v>
      </c>
      <c r="J604" s="19">
        <v>2.3199999999999998</v>
      </c>
      <c r="K604" s="16" t="s">
        <v>194</v>
      </c>
      <c r="L604" s="16" t="s">
        <v>38</v>
      </c>
      <c r="M604" s="16" t="s">
        <v>2944</v>
      </c>
      <c r="N604" s="16" t="s">
        <v>2945</v>
      </c>
    </row>
    <row r="605" spans="1:14" ht="20.100000000000001" customHeight="1" x14ac:dyDescent="0.25">
      <c r="A605" s="15" t="s">
        <v>2946</v>
      </c>
      <c r="B605" s="16" t="s">
        <v>49</v>
      </c>
      <c r="C605" s="15">
        <v>9402395</v>
      </c>
      <c r="D605" s="16" t="s">
        <v>580</v>
      </c>
      <c r="E605" s="15" t="s">
        <v>2947</v>
      </c>
      <c r="F605" s="21" t="str">
        <f>HYPERLINK("https://psearch.kitsapgov.com/webappa/index.html?parcelID=1738848&amp;Theme=Imagery","1738848")</f>
        <v>1738848</v>
      </c>
      <c r="G605" s="16" t="s">
        <v>1090</v>
      </c>
      <c r="H605" s="17">
        <v>43122</v>
      </c>
      <c r="I605" s="18">
        <v>405922</v>
      </c>
      <c r="J605" s="19">
        <v>0.16</v>
      </c>
      <c r="K605" s="16" t="s">
        <v>37</v>
      </c>
      <c r="L605" s="16" t="s">
        <v>129</v>
      </c>
      <c r="M605" s="16" t="s">
        <v>636</v>
      </c>
      <c r="N605" s="16" t="s">
        <v>2948</v>
      </c>
    </row>
    <row r="606" spans="1:14" ht="20.100000000000001" customHeight="1" x14ac:dyDescent="0.25">
      <c r="A606" s="15" t="s">
        <v>2949</v>
      </c>
      <c r="B606" s="16" t="s">
        <v>318</v>
      </c>
      <c r="C606" s="15">
        <v>8402391</v>
      </c>
      <c r="D606" s="16" t="s">
        <v>227</v>
      </c>
      <c r="E606" s="15" t="s">
        <v>2950</v>
      </c>
      <c r="F606" s="21" t="str">
        <f>HYPERLINK("https://psearch.kitsapgov.com/webappa/index.html?parcelID=2464543&amp;Theme=Imagery","2464543")</f>
        <v>2464543</v>
      </c>
      <c r="G606" s="16" t="s">
        <v>2951</v>
      </c>
      <c r="H606" s="17">
        <v>43112</v>
      </c>
      <c r="I606" s="18">
        <v>85000</v>
      </c>
      <c r="J606" s="19">
        <v>0</v>
      </c>
      <c r="L606" s="16" t="s">
        <v>290</v>
      </c>
      <c r="M606" s="16" t="s">
        <v>2952</v>
      </c>
      <c r="N606" s="16" t="s">
        <v>2953</v>
      </c>
    </row>
    <row r="607" spans="1:14" ht="20.100000000000001" customHeight="1" x14ac:dyDescent="0.25">
      <c r="A607" s="15" t="s">
        <v>2954</v>
      </c>
      <c r="B607" s="16" t="s">
        <v>393</v>
      </c>
      <c r="C607" s="15">
        <v>9100542</v>
      </c>
      <c r="D607" s="16" t="s">
        <v>454</v>
      </c>
      <c r="E607" s="15" t="s">
        <v>2955</v>
      </c>
      <c r="F607" s="21" t="str">
        <f>HYPERLINK("https://psearch.kitsapgov.com/webappa/index.html?parcelID=1107317&amp;Theme=Imagery","1107317")</f>
        <v>1107317</v>
      </c>
      <c r="G607" s="16" t="s">
        <v>2956</v>
      </c>
      <c r="H607" s="17">
        <v>43117</v>
      </c>
      <c r="I607" s="18">
        <v>17485429</v>
      </c>
      <c r="J607" s="19">
        <v>4.4800000000000004</v>
      </c>
      <c r="K607" s="16" t="s">
        <v>1070</v>
      </c>
      <c r="L607" s="16" t="s">
        <v>20</v>
      </c>
      <c r="M607" s="16" t="s">
        <v>2957</v>
      </c>
      <c r="N607" s="16" t="s">
        <v>2958</v>
      </c>
    </row>
    <row r="608" spans="1:14" ht="20.100000000000001" customHeight="1" x14ac:dyDescent="0.25">
      <c r="A608" s="15" t="s">
        <v>2959</v>
      </c>
      <c r="B608" s="16" t="s">
        <v>358</v>
      </c>
      <c r="C608" s="15">
        <v>9100542</v>
      </c>
      <c r="D608" s="16" t="s">
        <v>454</v>
      </c>
      <c r="E608" s="15" t="s">
        <v>2960</v>
      </c>
      <c r="F608" s="21" t="str">
        <f>HYPERLINK("https://psearch.kitsapgov.com/webappa/index.html?parcelID=2303204&amp;Theme=Imagery","2303204")</f>
        <v>2303204</v>
      </c>
      <c r="G608" s="16" t="s">
        <v>2961</v>
      </c>
      <c r="H608" s="17">
        <v>43117</v>
      </c>
      <c r="I608" s="18">
        <v>9659417</v>
      </c>
      <c r="J608" s="19">
        <v>2.4</v>
      </c>
      <c r="K608" s="16" t="s">
        <v>1070</v>
      </c>
      <c r="L608" s="16" t="s">
        <v>20</v>
      </c>
      <c r="M608" s="16" t="s">
        <v>2957</v>
      </c>
      <c r="N608" s="16" t="s">
        <v>2962</v>
      </c>
    </row>
    <row r="609" spans="1:14" ht="20.100000000000001" customHeight="1" x14ac:dyDescent="0.25">
      <c r="A609" s="15" t="s">
        <v>2963</v>
      </c>
      <c r="B609" s="16" t="s">
        <v>358</v>
      </c>
      <c r="C609" s="15">
        <v>9100542</v>
      </c>
      <c r="D609" s="16" t="s">
        <v>454</v>
      </c>
      <c r="E609" s="15" t="s">
        <v>2964</v>
      </c>
      <c r="F609" s="21" t="str">
        <f>HYPERLINK("https://psearch.kitsapgov.com/webappa/index.html?parcelID=2303212&amp;Theme=Imagery","2303212")</f>
        <v>2303212</v>
      </c>
      <c r="G609" s="16" t="s">
        <v>2965</v>
      </c>
      <c r="H609" s="17">
        <v>43117</v>
      </c>
      <c r="I609" s="18">
        <v>6687180</v>
      </c>
      <c r="J609" s="19">
        <v>2.4</v>
      </c>
      <c r="K609" s="16" t="s">
        <v>1070</v>
      </c>
      <c r="L609" s="16" t="s">
        <v>20</v>
      </c>
      <c r="M609" s="16" t="s">
        <v>2957</v>
      </c>
      <c r="N609" s="16" t="s">
        <v>2966</v>
      </c>
    </row>
    <row r="610" spans="1:14" ht="20.100000000000001" customHeight="1" x14ac:dyDescent="0.25">
      <c r="A610" s="15" t="s">
        <v>2967</v>
      </c>
      <c r="B610" s="16" t="s">
        <v>96</v>
      </c>
      <c r="C610" s="15">
        <v>8402306</v>
      </c>
      <c r="D610" s="16" t="s">
        <v>34</v>
      </c>
      <c r="E610" s="15" t="s">
        <v>2968</v>
      </c>
      <c r="F610" s="21" t="str">
        <f>HYPERLINK("https://psearch.kitsapgov.com/webappa/index.html?parcelID=1501329&amp;Theme=Imagery","1501329")</f>
        <v>1501329</v>
      </c>
      <c r="G610" s="16" t="s">
        <v>2969</v>
      </c>
      <c r="H610" s="17">
        <v>43125</v>
      </c>
      <c r="I610" s="18">
        <v>452000</v>
      </c>
      <c r="J610" s="19">
        <v>0.32</v>
      </c>
      <c r="K610" s="16" t="s">
        <v>371</v>
      </c>
      <c r="L610" s="16" t="s">
        <v>38</v>
      </c>
      <c r="M610" s="16" t="s">
        <v>2970</v>
      </c>
      <c r="N610" s="16" t="s">
        <v>2971</v>
      </c>
    </row>
    <row r="611" spans="1:14" ht="20.100000000000001" customHeight="1" x14ac:dyDescent="0.25">
      <c r="A611" s="15" t="s">
        <v>2972</v>
      </c>
      <c r="B611" s="16" t="s">
        <v>164</v>
      </c>
      <c r="C611" s="15">
        <v>8303601</v>
      </c>
      <c r="D611" s="16" t="s">
        <v>50</v>
      </c>
      <c r="E611" s="15" t="s">
        <v>2973</v>
      </c>
      <c r="F611" s="21" t="str">
        <f>HYPERLINK("https://psearch.kitsapgov.com/webappa/index.html?parcelID=2468114&amp;Theme=Imagery","2468114")</f>
        <v>2468114</v>
      </c>
      <c r="G611" s="16" t="s">
        <v>2974</v>
      </c>
      <c r="H611" s="17">
        <v>43125</v>
      </c>
      <c r="I611" s="18">
        <v>365000</v>
      </c>
      <c r="J611" s="19">
        <v>0</v>
      </c>
      <c r="L611" s="16" t="s">
        <v>38</v>
      </c>
      <c r="M611" s="16" t="s">
        <v>2975</v>
      </c>
      <c r="N611" s="16" t="s">
        <v>2976</v>
      </c>
    </row>
    <row r="612" spans="1:14" ht="20.100000000000001" customHeight="1" x14ac:dyDescent="0.25">
      <c r="A612" s="15" t="s">
        <v>2977</v>
      </c>
      <c r="B612" s="16" t="s">
        <v>66</v>
      </c>
      <c r="C612" s="15">
        <v>8401508</v>
      </c>
      <c r="D612" s="16" t="s">
        <v>90</v>
      </c>
      <c r="E612" s="15" t="s">
        <v>2978</v>
      </c>
      <c r="F612" s="21" t="str">
        <f>HYPERLINK("https://psearch.kitsapgov.com/webappa/index.html?parcelID=1276203&amp;Theme=Imagery","1276203")</f>
        <v>1276203</v>
      </c>
      <c r="G612" s="16" t="s">
        <v>2979</v>
      </c>
      <c r="H612" s="17">
        <v>43129</v>
      </c>
      <c r="I612" s="18">
        <v>730000</v>
      </c>
      <c r="J612" s="19">
        <v>1.8</v>
      </c>
      <c r="K612" s="16" t="s">
        <v>78</v>
      </c>
      <c r="L612" s="16" t="s">
        <v>38</v>
      </c>
      <c r="M612" s="16" t="s">
        <v>2980</v>
      </c>
      <c r="N612" s="16" t="s">
        <v>2981</v>
      </c>
    </row>
    <row r="613" spans="1:14" ht="20.100000000000001" customHeight="1" x14ac:dyDescent="0.25">
      <c r="A613" s="15" t="s">
        <v>2982</v>
      </c>
      <c r="B613" s="16" t="s">
        <v>368</v>
      </c>
      <c r="C613" s="15">
        <v>8400202</v>
      </c>
      <c r="D613" s="16" t="s">
        <v>158</v>
      </c>
      <c r="E613" s="15" t="s">
        <v>1197</v>
      </c>
      <c r="F613" s="21" t="str">
        <f>HYPERLINK("https://psearch.kitsapgov.com/webappa/index.html?parcelID=1916634&amp;Theme=Imagery","1916634")</f>
        <v>1916634</v>
      </c>
      <c r="G613" s="16" t="s">
        <v>1198</v>
      </c>
      <c r="H613" s="17">
        <v>43130</v>
      </c>
      <c r="I613" s="18">
        <v>700000</v>
      </c>
      <c r="J613" s="19">
        <v>0.51</v>
      </c>
      <c r="K613" s="16" t="s">
        <v>100</v>
      </c>
      <c r="L613" s="16" t="s">
        <v>20</v>
      </c>
      <c r="M613" s="16" t="s">
        <v>1200</v>
      </c>
      <c r="N613" s="16" t="s">
        <v>2983</v>
      </c>
    </row>
    <row r="614" spans="1:14" ht="20.100000000000001" customHeight="1" x14ac:dyDescent="0.25">
      <c r="A614" s="15" t="s">
        <v>2984</v>
      </c>
      <c r="B614" s="16" t="s">
        <v>57</v>
      </c>
      <c r="C614" s="15">
        <v>8402307</v>
      </c>
      <c r="D614" s="16" t="s">
        <v>151</v>
      </c>
      <c r="E614" s="15" t="s">
        <v>1822</v>
      </c>
      <c r="F614" s="21" t="str">
        <f>HYPERLINK("https://psearch.kitsapgov.com/webappa/index.html?parcelID=1210400&amp;Theme=Imagery","1210400")</f>
        <v>1210400</v>
      </c>
      <c r="G614" s="16" t="s">
        <v>1823</v>
      </c>
      <c r="H614" s="17">
        <v>43126</v>
      </c>
      <c r="I614" s="18">
        <v>200000</v>
      </c>
      <c r="J614" s="19">
        <v>1.06</v>
      </c>
      <c r="K614" s="16" t="s">
        <v>78</v>
      </c>
      <c r="L614" s="16" t="s">
        <v>20</v>
      </c>
      <c r="M614" s="16" t="s">
        <v>1825</v>
      </c>
      <c r="N614" s="16" t="s">
        <v>2985</v>
      </c>
    </row>
    <row r="615" spans="1:14" ht="20.100000000000001" customHeight="1" x14ac:dyDescent="0.25">
      <c r="A615" s="15" t="s">
        <v>2986</v>
      </c>
      <c r="B615" s="16" t="s">
        <v>214</v>
      </c>
      <c r="C615" s="15">
        <v>9402403</v>
      </c>
      <c r="D615" s="16" t="s">
        <v>2987</v>
      </c>
      <c r="E615" s="15" t="s">
        <v>2988</v>
      </c>
      <c r="F615" s="21" t="str">
        <f>HYPERLINK("https://psearch.kitsapgov.com/webappa/index.html?parcelID=2038867&amp;Theme=Imagery","2038867")</f>
        <v>2038867</v>
      </c>
      <c r="G615" s="16" t="s">
        <v>2989</v>
      </c>
      <c r="H615" s="17">
        <v>43131</v>
      </c>
      <c r="I615" s="18">
        <v>650000</v>
      </c>
      <c r="J615" s="19">
        <v>0.35</v>
      </c>
      <c r="K615" s="16" t="s">
        <v>2990</v>
      </c>
      <c r="L615" s="16" t="s">
        <v>38</v>
      </c>
      <c r="M615" s="16" t="s">
        <v>2991</v>
      </c>
      <c r="N615" s="16" t="s">
        <v>1210</v>
      </c>
    </row>
    <row r="616" spans="1:14" ht="20.100000000000001" customHeight="1" x14ac:dyDescent="0.25">
      <c r="A616" s="15" t="s">
        <v>2992</v>
      </c>
      <c r="B616" s="16" t="s">
        <v>96</v>
      </c>
      <c r="C616" s="15">
        <v>8401508</v>
      </c>
      <c r="D616" s="16" t="s">
        <v>90</v>
      </c>
      <c r="E616" s="15" t="s">
        <v>2993</v>
      </c>
      <c r="F616" s="21" t="str">
        <f>HYPERLINK("https://psearch.kitsapgov.com/webappa/index.html?parcelID=2366227&amp;Theme=Imagery","2366227")</f>
        <v>2366227</v>
      </c>
      <c r="G616" s="16" t="s">
        <v>2994</v>
      </c>
      <c r="H616" s="17">
        <v>43118</v>
      </c>
      <c r="I616" s="18">
        <v>390000</v>
      </c>
      <c r="J616" s="19">
        <v>0.48</v>
      </c>
      <c r="K616" s="16" t="s">
        <v>78</v>
      </c>
      <c r="L616" s="16" t="s">
        <v>79</v>
      </c>
      <c r="M616" s="16" t="s">
        <v>2995</v>
      </c>
      <c r="N616" s="16" t="s">
        <v>2996</v>
      </c>
    </row>
    <row r="617" spans="1:14" ht="20.100000000000001" customHeight="1" x14ac:dyDescent="0.25">
      <c r="A617" s="15" t="s">
        <v>2997</v>
      </c>
      <c r="B617" s="16" t="s">
        <v>66</v>
      </c>
      <c r="C617" s="15">
        <v>8402306</v>
      </c>
      <c r="D617" s="16" t="s">
        <v>34</v>
      </c>
      <c r="E617" s="15" t="s">
        <v>2998</v>
      </c>
      <c r="F617" s="21" t="str">
        <f>HYPERLINK("https://psearch.kitsapgov.com/webappa/index.html?parcelID=1966274&amp;Theme=Imagery","1966274")</f>
        <v>1966274</v>
      </c>
      <c r="G617" s="16" t="s">
        <v>2999</v>
      </c>
      <c r="H617" s="17">
        <v>43116</v>
      </c>
      <c r="I617" s="18">
        <v>211850</v>
      </c>
      <c r="J617" s="19">
        <v>0.14000000000000001</v>
      </c>
      <c r="K617" s="16" t="s">
        <v>37</v>
      </c>
      <c r="L617" s="16" t="s">
        <v>20</v>
      </c>
      <c r="M617" s="16" t="s">
        <v>3000</v>
      </c>
      <c r="N617" s="16" t="s">
        <v>3001</v>
      </c>
    </row>
    <row r="618" spans="1:14" ht="20.100000000000001" customHeight="1" x14ac:dyDescent="0.25">
      <c r="A618" s="15" t="s">
        <v>3002</v>
      </c>
      <c r="B618" s="16" t="s">
        <v>143</v>
      </c>
      <c r="C618" s="15">
        <v>8400204</v>
      </c>
      <c r="D618" s="16" t="s">
        <v>178</v>
      </c>
      <c r="E618" s="15" t="s">
        <v>3003</v>
      </c>
      <c r="F618" s="21" t="str">
        <f>HYPERLINK("https://psearch.kitsapgov.com/webappa/index.html?parcelID=2414340&amp;Theme=Imagery","2414340")</f>
        <v>2414340</v>
      </c>
      <c r="G618" s="16" t="s">
        <v>3004</v>
      </c>
      <c r="H618" s="17">
        <v>43137</v>
      </c>
      <c r="I618" s="18">
        <v>195000</v>
      </c>
      <c r="J618" s="19">
        <v>0.71</v>
      </c>
      <c r="K618" s="16" t="s">
        <v>181</v>
      </c>
      <c r="L618" s="16" t="s">
        <v>38</v>
      </c>
      <c r="M618" s="16" t="s">
        <v>3005</v>
      </c>
      <c r="N618" s="16" t="s">
        <v>3006</v>
      </c>
    </row>
    <row r="619" spans="1:14" ht="20.100000000000001" customHeight="1" x14ac:dyDescent="0.25">
      <c r="A619" s="15" t="s">
        <v>3007</v>
      </c>
      <c r="B619" s="16" t="s">
        <v>214</v>
      </c>
      <c r="C619" s="15">
        <v>9303604</v>
      </c>
      <c r="D619" s="16" t="s">
        <v>967</v>
      </c>
      <c r="E619" s="15" t="s">
        <v>3008</v>
      </c>
      <c r="F619" s="21" t="str">
        <f>HYPERLINK("https://psearch.kitsapgov.com/webappa/index.html?parcelID=1515808&amp;Theme=Imagery","1515808")</f>
        <v>1515808</v>
      </c>
      <c r="G619" s="16" t="s">
        <v>3009</v>
      </c>
      <c r="H619" s="17">
        <v>43147</v>
      </c>
      <c r="I619" s="18">
        <v>1100000</v>
      </c>
      <c r="J619" s="19">
        <v>0.26</v>
      </c>
      <c r="K619" s="16" t="s">
        <v>3010</v>
      </c>
      <c r="L619" s="16" t="s">
        <v>38</v>
      </c>
      <c r="M619" s="16" t="s">
        <v>3011</v>
      </c>
      <c r="N619" s="16" t="s">
        <v>3012</v>
      </c>
    </row>
    <row r="620" spans="1:14" ht="20.100000000000001" customHeight="1" x14ac:dyDescent="0.25">
      <c r="A620" s="15" t="s">
        <v>3013</v>
      </c>
      <c r="B620" s="16" t="s">
        <v>347</v>
      </c>
      <c r="C620" s="15">
        <v>8400202</v>
      </c>
      <c r="D620" s="16" t="s">
        <v>158</v>
      </c>
      <c r="E620" s="15" t="s">
        <v>3014</v>
      </c>
      <c r="F620" s="21" t="str">
        <f>HYPERLINK("https://psearch.kitsapgov.com/webappa/index.html?parcelID=2014959&amp;Theme=Imagery","2014959")</f>
        <v>2014959</v>
      </c>
      <c r="G620" s="16" t="s">
        <v>3015</v>
      </c>
      <c r="H620" s="17">
        <v>43143</v>
      </c>
      <c r="I620" s="18">
        <v>285000</v>
      </c>
      <c r="J620" s="19">
        <v>0.41</v>
      </c>
      <c r="K620" s="16" t="s">
        <v>100</v>
      </c>
      <c r="L620" s="16" t="s">
        <v>20</v>
      </c>
      <c r="M620" s="16" t="s">
        <v>3016</v>
      </c>
      <c r="N620" s="16" t="s">
        <v>351</v>
      </c>
    </row>
    <row r="621" spans="1:14" ht="20.100000000000001" customHeight="1" x14ac:dyDescent="0.25">
      <c r="A621" s="15" t="s">
        <v>3017</v>
      </c>
      <c r="B621" s="16" t="s">
        <v>143</v>
      </c>
      <c r="C621" s="15">
        <v>8402308</v>
      </c>
      <c r="D621" s="16" t="s">
        <v>75</v>
      </c>
      <c r="E621" s="15" t="s">
        <v>3018</v>
      </c>
      <c r="F621" s="21" t="str">
        <f>HYPERLINK("https://psearch.kitsapgov.com/webappa/index.html?parcelID=2345718&amp;Theme=Imagery","2345718")</f>
        <v>2345718</v>
      </c>
      <c r="G621" s="16" t="s">
        <v>3019</v>
      </c>
      <c r="H621" s="17">
        <v>43153</v>
      </c>
      <c r="I621" s="18">
        <v>55000</v>
      </c>
      <c r="J621" s="19">
        <v>1.3</v>
      </c>
      <c r="K621" s="16" t="s">
        <v>672</v>
      </c>
      <c r="L621" s="16" t="s">
        <v>372</v>
      </c>
      <c r="M621" s="16" t="s">
        <v>3020</v>
      </c>
      <c r="N621" s="16" t="s">
        <v>3021</v>
      </c>
    </row>
    <row r="622" spans="1:14" ht="20.100000000000001" customHeight="1" x14ac:dyDescent="0.25">
      <c r="A622" s="15" t="s">
        <v>3022</v>
      </c>
      <c r="B622" s="16" t="s">
        <v>239</v>
      </c>
      <c r="C622" s="15">
        <v>8401101</v>
      </c>
      <c r="D622" s="16" t="s">
        <v>185</v>
      </c>
      <c r="E622" s="15" t="s">
        <v>3023</v>
      </c>
      <c r="F622" s="21" t="str">
        <f>HYPERLINK("https://psearch.kitsapgov.com/webappa/index.html?parcelID=1250976&amp;Theme=Imagery","1250976")</f>
        <v>1250976</v>
      </c>
      <c r="G622" s="16" t="s">
        <v>3024</v>
      </c>
      <c r="H622" s="17">
        <v>43118</v>
      </c>
      <c r="I622" s="18">
        <v>5000</v>
      </c>
      <c r="J622" s="19">
        <v>0.88</v>
      </c>
      <c r="K622" s="16" t="s">
        <v>188</v>
      </c>
      <c r="L622" s="16" t="s">
        <v>1169</v>
      </c>
      <c r="M622" s="16" t="s">
        <v>758</v>
      </c>
      <c r="N622" s="16" t="s">
        <v>710</v>
      </c>
    </row>
    <row r="623" spans="1:14" ht="20.100000000000001" customHeight="1" x14ac:dyDescent="0.25">
      <c r="A623" s="15" t="s">
        <v>3025</v>
      </c>
      <c r="B623" s="16" t="s">
        <v>49</v>
      </c>
      <c r="C623" s="15">
        <v>9402402</v>
      </c>
      <c r="D623" s="16" t="s">
        <v>1382</v>
      </c>
      <c r="E623" s="15" t="s">
        <v>3026</v>
      </c>
      <c r="F623" s="21" t="str">
        <f>HYPERLINK("https://psearch.kitsapgov.com/webappa/index.html?parcelID=2418432&amp;Theme=Imagery","2418432")</f>
        <v>2418432</v>
      </c>
      <c r="G623" s="16" t="s">
        <v>107</v>
      </c>
      <c r="H623" s="17">
        <v>43153</v>
      </c>
      <c r="I623" s="18">
        <v>289950</v>
      </c>
      <c r="J623" s="19">
        <v>0.64</v>
      </c>
      <c r="K623" s="16" t="s">
        <v>194</v>
      </c>
      <c r="L623" s="16" t="s">
        <v>38</v>
      </c>
      <c r="M623" s="16" t="s">
        <v>3027</v>
      </c>
      <c r="N623" s="16" t="s">
        <v>3028</v>
      </c>
    </row>
    <row r="624" spans="1:14" ht="20.100000000000001" customHeight="1" x14ac:dyDescent="0.25">
      <c r="A624" s="15" t="s">
        <v>3029</v>
      </c>
      <c r="B624" s="16" t="s">
        <v>57</v>
      </c>
      <c r="C624" s="15">
        <v>8100506</v>
      </c>
      <c r="D624" s="16" t="s">
        <v>25</v>
      </c>
      <c r="E624" s="15" t="s">
        <v>3030</v>
      </c>
      <c r="F624" s="21" t="str">
        <f>HYPERLINK("https://psearch.kitsapgov.com/webappa/index.html?parcelID=2376879&amp;Theme=Imagery","2376879")</f>
        <v>2376879</v>
      </c>
      <c r="G624" s="16" t="s">
        <v>3031</v>
      </c>
      <c r="H624" s="17">
        <v>43152</v>
      </c>
      <c r="I624" s="18">
        <v>149950</v>
      </c>
      <c r="J624" s="19">
        <v>1.1200000000000001</v>
      </c>
      <c r="K624" s="16" t="s">
        <v>28</v>
      </c>
      <c r="L624" s="16" t="s">
        <v>38</v>
      </c>
      <c r="M624" s="16" t="s">
        <v>3032</v>
      </c>
      <c r="N624" s="16" t="s">
        <v>3033</v>
      </c>
    </row>
    <row r="625" spans="1:14" ht="20.100000000000001" customHeight="1" x14ac:dyDescent="0.25">
      <c r="A625" s="15" t="s">
        <v>3034</v>
      </c>
      <c r="B625" s="16" t="s">
        <v>57</v>
      </c>
      <c r="C625" s="15">
        <v>8400201</v>
      </c>
      <c r="D625" s="16" t="s">
        <v>941</v>
      </c>
      <c r="E625" s="15" t="s">
        <v>3035</v>
      </c>
      <c r="F625" s="21" t="str">
        <f>HYPERLINK("https://psearch.kitsapgov.com/webappa/index.html?parcelID=1342898&amp;Theme=Imagery","1342898")</f>
        <v>1342898</v>
      </c>
      <c r="G625" s="16" t="s">
        <v>3036</v>
      </c>
      <c r="H625" s="17">
        <v>43158</v>
      </c>
      <c r="I625" s="18">
        <v>300000</v>
      </c>
      <c r="J625" s="19">
        <v>0.24</v>
      </c>
      <c r="K625" s="16" t="s">
        <v>944</v>
      </c>
      <c r="L625" s="16" t="s">
        <v>38</v>
      </c>
      <c r="M625" s="16" t="s">
        <v>3037</v>
      </c>
      <c r="N625" s="16" t="s">
        <v>3038</v>
      </c>
    </row>
    <row r="626" spans="1:14" ht="20.100000000000001" customHeight="1" x14ac:dyDescent="0.25">
      <c r="A626" s="15" t="s">
        <v>3039</v>
      </c>
      <c r="B626" s="16" t="s">
        <v>57</v>
      </c>
      <c r="C626" s="15">
        <v>8402307</v>
      </c>
      <c r="D626" s="16" t="s">
        <v>151</v>
      </c>
      <c r="E626" s="15" t="s">
        <v>3040</v>
      </c>
      <c r="F626" s="21" t="str">
        <f>HYPERLINK("https://psearch.kitsapgov.com/webappa/index.html?parcelID=1039171&amp;Theme=Imagery","1039171")</f>
        <v>1039171</v>
      </c>
      <c r="G626" s="16" t="s">
        <v>3041</v>
      </c>
      <c r="H626" s="17">
        <v>43158</v>
      </c>
      <c r="I626" s="18">
        <v>55000</v>
      </c>
      <c r="J626" s="19">
        <v>1.65</v>
      </c>
      <c r="K626" s="16" t="s">
        <v>78</v>
      </c>
      <c r="L626" s="16" t="s">
        <v>38</v>
      </c>
      <c r="M626" s="16" t="s">
        <v>3042</v>
      </c>
      <c r="N626" s="16" t="s">
        <v>3043</v>
      </c>
    </row>
    <row r="627" spans="1:14" ht="20.100000000000001" customHeight="1" x14ac:dyDescent="0.25">
      <c r="A627" s="15" t="s">
        <v>3044</v>
      </c>
      <c r="B627" s="16" t="s">
        <v>96</v>
      </c>
      <c r="C627" s="15">
        <v>8303601</v>
      </c>
      <c r="D627" s="16" t="s">
        <v>50</v>
      </c>
      <c r="E627" s="15" t="s">
        <v>3045</v>
      </c>
      <c r="F627" s="21" t="str">
        <f>HYPERLINK("https://psearch.kitsapgov.com/webappa/index.html?parcelID=1516095&amp;Theme=Imagery","1516095")</f>
        <v>1516095</v>
      </c>
      <c r="G627" s="16" t="s">
        <v>3046</v>
      </c>
      <c r="H627" s="17">
        <v>43158</v>
      </c>
      <c r="I627" s="18">
        <v>1800000</v>
      </c>
      <c r="J627" s="19">
        <v>0.18</v>
      </c>
      <c r="K627" s="16" t="s">
        <v>326</v>
      </c>
      <c r="L627" s="16" t="s">
        <v>20</v>
      </c>
      <c r="M627" s="16" t="s">
        <v>3047</v>
      </c>
      <c r="N627" s="16" t="s">
        <v>3048</v>
      </c>
    </row>
    <row r="628" spans="1:14" ht="20.100000000000001" customHeight="1" x14ac:dyDescent="0.25">
      <c r="A628" s="15" t="s">
        <v>3049</v>
      </c>
      <c r="B628" s="16" t="s">
        <v>96</v>
      </c>
      <c r="C628" s="15">
        <v>8303601</v>
      </c>
      <c r="D628" s="16" t="s">
        <v>50</v>
      </c>
      <c r="E628" s="15" t="s">
        <v>3050</v>
      </c>
      <c r="F628" s="21" t="str">
        <f>HYPERLINK("https://psearch.kitsapgov.com/webappa/index.html?parcelID=1305242&amp;Theme=Imagery","1305242")</f>
        <v>1305242</v>
      </c>
      <c r="G628" s="16" t="s">
        <v>3051</v>
      </c>
      <c r="H628" s="17">
        <v>43157</v>
      </c>
      <c r="I628" s="18">
        <v>812000</v>
      </c>
      <c r="J628" s="19">
        <v>0.34</v>
      </c>
      <c r="K628" s="16" t="s">
        <v>205</v>
      </c>
      <c r="L628" s="16" t="s">
        <v>38</v>
      </c>
      <c r="M628" s="16" t="s">
        <v>3052</v>
      </c>
      <c r="N628" s="16" t="s">
        <v>3053</v>
      </c>
    </row>
    <row r="629" spans="1:14" ht="20.100000000000001" customHeight="1" x14ac:dyDescent="0.25">
      <c r="A629" s="15" t="s">
        <v>3054</v>
      </c>
      <c r="B629" s="16" t="s">
        <v>33</v>
      </c>
      <c r="C629" s="15">
        <v>8402306</v>
      </c>
      <c r="D629" s="16" t="s">
        <v>34</v>
      </c>
      <c r="E629" s="15" t="s">
        <v>3055</v>
      </c>
      <c r="F629" s="21" t="str">
        <f>HYPERLINK("https://psearch.kitsapgov.com/webappa/index.html?parcelID=1508902&amp;Theme=Imagery","1508902")</f>
        <v>1508902</v>
      </c>
      <c r="G629" s="16" t="s">
        <v>3056</v>
      </c>
      <c r="H629" s="17">
        <v>43161</v>
      </c>
      <c r="I629" s="18">
        <v>341000</v>
      </c>
      <c r="J629" s="19">
        <v>0.08</v>
      </c>
      <c r="K629" s="16" t="s">
        <v>37</v>
      </c>
      <c r="L629" s="16" t="s">
        <v>38</v>
      </c>
      <c r="M629" s="16" t="s">
        <v>3057</v>
      </c>
      <c r="N629" s="16" t="s">
        <v>3058</v>
      </c>
    </row>
    <row r="630" spans="1:14" ht="20.100000000000001" customHeight="1" x14ac:dyDescent="0.25">
      <c r="A630" s="15" t="s">
        <v>3059</v>
      </c>
      <c r="B630" s="16" t="s">
        <v>286</v>
      </c>
      <c r="C630" s="15">
        <v>8400206</v>
      </c>
      <c r="D630" s="16" t="s">
        <v>287</v>
      </c>
      <c r="E630" s="15" t="s">
        <v>3060</v>
      </c>
      <c r="F630" s="21" t="str">
        <f>HYPERLINK("https://psearch.kitsapgov.com/webappa/index.html?parcelID=2071751&amp;Theme=Imagery","2071751")</f>
        <v>2071751</v>
      </c>
      <c r="G630" s="16" t="s">
        <v>609</v>
      </c>
      <c r="H630" s="17">
        <v>43159</v>
      </c>
      <c r="I630" s="18">
        <v>15000</v>
      </c>
      <c r="J630" s="19">
        <v>0</v>
      </c>
      <c r="L630" s="16" t="s">
        <v>38</v>
      </c>
      <c r="M630" s="16" t="s">
        <v>3061</v>
      </c>
      <c r="N630" s="16" t="s">
        <v>3062</v>
      </c>
    </row>
    <row r="631" spans="1:14" ht="20.100000000000001" customHeight="1" x14ac:dyDescent="0.25">
      <c r="A631" s="15" t="s">
        <v>3063</v>
      </c>
      <c r="B631" s="16" t="s">
        <v>96</v>
      </c>
      <c r="C631" s="15">
        <v>8401101</v>
      </c>
      <c r="D631" s="16" t="s">
        <v>185</v>
      </c>
      <c r="E631" s="15" t="s">
        <v>3064</v>
      </c>
      <c r="F631" s="21" t="str">
        <f>HYPERLINK("https://psearch.kitsapgov.com/webappa/index.html?parcelID=2189249&amp;Theme=Imagery","2189249")</f>
        <v>2189249</v>
      </c>
      <c r="G631" s="16" t="s">
        <v>3065</v>
      </c>
      <c r="H631" s="17">
        <v>43151</v>
      </c>
      <c r="I631" s="18">
        <v>780000</v>
      </c>
      <c r="J631" s="19">
        <v>0.3</v>
      </c>
      <c r="K631" s="16" t="s">
        <v>188</v>
      </c>
      <c r="L631" s="16" t="s">
        <v>719</v>
      </c>
      <c r="M631" s="16" t="s">
        <v>3066</v>
      </c>
      <c r="N631" s="16" t="s">
        <v>3067</v>
      </c>
    </row>
    <row r="632" spans="1:14" ht="20.100000000000001" customHeight="1" x14ac:dyDescent="0.25">
      <c r="A632" s="15" t="s">
        <v>3068</v>
      </c>
      <c r="B632" s="16" t="s">
        <v>96</v>
      </c>
      <c r="C632" s="15">
        <v>8401102</v>
      </c>
      <c r="D632" s="16" t="s">
        <v>766</v>
      </c>
      <c r="E632" s="15" t="s">
        <v>3069</v>
      </c>
      <c r="F632" s="21" t="str">
        <f>HYPERLINK("https://psearch.kitsapgov.com/webappa/index.html?parcelID=1921436&amp;Theme=Imagery","1921436")</f>
        <v>1921436</v>
      </c>
      <c r="G632" s="16" t="s">
        <v>3070</v>
      </c>
      <c r="H632" s="17">
        <v>43139</v>
      </c>
      <c r="I632" s="18">
        <v>2745</v>
      </c>
      <c r="J632" s="19">
        <v>0.21</v>
      </c>
      <c r="K632" s="16" t="s">
        <v>188</v>
      </c>
      <c r="L632" s="16" t="s">
        <v>1169</v>
      </c>
      <c r="M632" s="16" t="s">
        <v>3071</v>
      </c>
      <c r="N632" s="16" t="s">
        <v>710</v>
      </c>
    </row>
    <row r="633" spans="1:14" ht="20.100000000000001" customHeight="1" x14ac:dyDescent="0.25">
      <c r="A633" s="15" t="s">
        <v>3072</v>
      </c>
      <c r="B633" s="16" t="s">
        <v>688</v>
      </c>
      <c r="C633" s="15">
        <v>8401102</v>
      </c>
      <c r="D633" s="16" t="s">
        <v>766</v>
      </c>
      <c r="E633" s="15" t="s">
        <v>3073</v>
      </c>
      <c r="F633" s="21" t="str">
        <f>HYPERLINK("https://psearch.kitsapgov.com/webappa/index.html?parcelID=1246800&amp;Theme=Imagery","1246800")</f>
        <v>1246800</v>
      </c>
      <c r="G633" s="16" t="s">
        <v>3074</v>
      </c>
      <c r="H633" s="17">
        <v>43081</v>
      </c>
      <c r="I633" s="18">
        <v>8071</v>
      </c>
      <c r="J633" s="19">
        <v>0.74</v>
      </c>
      <c r="K633" s="16" t="s">
        <v>188</v>
      </c>
      <c r="L633" s="16" t="s">
        <v>542</v>
      </c>
      <c r="M633" s="16" t="s">
        <v>3075</v>
      </c>
      <c r="N633" s="16" t="s">
        <v>544</v>
      </c>
    </row>
    <row r="634" spans="1:14" ht="20.100000000000001" customHeight="1" x14ac:dyDescent="0.25">
      <c r="A634" s="15" t="s">
        <v>3076</v>
      </c>
      <c r="B634" s="16" t="s">
        <v>89</v>
      </c>
      <c r="C634" s="15">
        <v>8402307</v>
      </c>
      <c r="D634" s="16" t="s">
        <v>151</v>
      </c>
      <c r="E634" s="15" t="s">
        <v>3077</v>
      </c>
      <c r="F634" s="21" t="str">
        <f>HYPERLINK("https://psearch.kitsapgov.com/webappa/index.html?parcelID=1050509&amp;Theme=Imagery","1050509")</f>
        <v>1050509</v>
      </c>
      <c r="G634" s="16" t="s">
        <v>3078</v>
      </c>
      <c r="H634" s="17">
        <v>43168</v>
      </c>
      <c r="I634" s="18">
        <v>660000</v>
      </c>
      <c r="J634" s="19">
        <v>1.42</v>
      </c>
      <c r="K634" s="16" t="s">
        <v>371</v>
      </c>
      <c r="L634" s="16" t="s">
        <v>38</v>
      </c>
      <c r="M634" s="16" t="s">
        <v>3079</v>
      </c>
      <c r="N634" s="16" t="s">
        <v>868</v>
      </c>
    </row>
    <row r="635" spans="1:14" ht="20.100000000000001" customHeight="1" x14ac:dyDescent="0.25">
      <c r="A635" s="15" t="s">
        <v>3080</v>
      </c>
      <c r="B635" s="16" t="s">
        <v>49</v>
      </c>
      <c r="C635" s="15">
        <v>8401101</v>
      </c>
      <c r="D635" s="16" t="s">
        <v>185</v>
      </c>
      <c r="E635" s="15" t="s">
        <v>3081</v>
      </c>
      <c r="F635" s="21" t="str">
        <f>HYPERLINK("https://psearch.kitsapgov.com/webappa/index.html?parcelID=2553303&amp;Theme=Imagery","2553303")</f>
        <v>2553303</v>
      </c>
      <c r="G635" s="16" t="s">
        <v>2483</v>
      </c>
      <c r="H635" s="17">
        <v>43171</v>
      </c>
      <c r="I635" s="18">
        <v>215000</v>
      </c>
      <c r="J635" s="19">
        <v>0.2</v>
      </c>
      <c r="K635" s="16" t="s">
        <v>188</v>
      </c>
      <c r="L635" s="16" t="s">
        <v>79</v>
      </c>
      <c r="M635" s="16" t="s">
        <v>1002</v>
      </c>
      <c r="N635" s="16" t="s">
        <v>3082</v>
      </c>
    </row>
    <row r="636" spans="1:14" ht="20.100000000000001" customHeight="1" x14ac:dyDescent="0.25">
      <c r="A636" s="15" t="s">
        <v>3083</v>
      </c>
      <c r="B636" s="16" t="s">
        <v>49</v>
      </c>
      <c r="C636" s="15">
        <v>8401101</v>
      </c>
      <c r="D636" s="16" t="s">
        <v>185</v>
      </c>
      <c r="E636" s="15" t="s">
        <v>2735</v>
      </c>
      <c r="F636" s="21" t="str">
        <f>HYPERLINK("https://psearch.kitsapgov.com/webappa/index.html?parcelID=1242403&amp;Theme=Imagery","1242403")</f>
        <v>1242403</v>
      </c>
      <c r="G636" s="16" t="s">
        <v>2736</v>
      </c>
      <c r="H636" s="17">
        <v>43186</v>
      </c>
      <c r="I636" s="18">
        <v>275000</v>
      </c>
      <c r="J636" s="19">
        <v>0.27</v>
      </c>
      <c r="K636" s="16" t="s">
        <v>188</v>
      </c>
      <c r="L636" s="16" t="s">
        <v>981</v>
      </c>
      <c r="M636" s="16" t="s">
        <v>2738</v>
      </c>
      <c r="N636" s="16" t="s">
        <v>3084</v>
      </c>
    </row>
    <row r="637" spans="1:14" ht="20.100000000000001" customHeight="1" x14ac:dyDescent="0.25">
      <c r="A637" s="15" t="s">
        <v>3085</v>
      </c>
      <c r="B637" s="16" t="s">
        <v>57</v>
      </c>
      <c r="C637" s="15">
        <v>8100506</v>
      </c>
      <c r="D637" s="16" t="s">
        <v>25</v>
      </c>
      <c r="E637" s="15" t="s">
        <v>3086</v>
      </c>
      <c r="F637" s="21" t="str">
        <f>HYPERLINK("https://psearch.kitsapgov.com/webappa/index.html?parcelID=2376887&amp;Theme=Imagery","2376887")</f>
        <v>2376887</v>
      </c>
      <c r="G637" s="16" t="s">
        <v>3087</v>
      </c>
      <c r="H637" s="17">
        <v>43180</v>
      </c>
      <c r="I637" s="18">
        <v>190000</v>
      </c>
      <c r="J637" s="19">
        <v>1.47</v>
      </c>
      <c r="K637" s="16" t="s">
        <v>28</v>
      </c>
      <c r="L637" s="16" t="s">
        <v>38</v>
      </c>
      <c r="M637" s="16" t="s">
        <v>3032</v>
      </c>
      <c r="N637" s="16" t="s">
        <v>1928</v>
      </c>
    </row>
    <row r="638" spans="1:14" ht="20.100000000000001" customHeight="1" x14ac:dyDescent="0.25">
      <c r="A638" s="15" t="s">
        <v>3088</v>
      </c>
      <c r="B638" s="16" t="s">
        <v>96</v>
      </c>
      <c r="C638" s="15">
        <v>8401102</v>
      </c>
      <c r="D638" s="16" t="s">
        <v>766</v>
      </c>
      <c r="E638" s="15" t="s">
        <v>3089</v>
      </c>
      <c r="F638" s="21" t="str">
        <f>HYPERLINK("https://psearch.kitsapgov.com/webappa/index.html?parcelID=1246792&amp;Theme=Imagery","1246792")</f>
        <v>1246792</v>
      </c>
      <c r="G638" s="16" t="s">
        <v>3090</v>
      </c>
      <c r="H638" s="17">
        <v>43187</v>
      </c>
      <c r="I638" s="18">
        <v>370000</v>
      </c>
      <c r="J638" s="19">
        <v>0.27</v>
      </c>
      <c r="K638" s="16" t="s">
        <v>188</v>
      </c>
      <c r="L638" s="16" t="s">
        <v>38</v>
      </c>
      <c r="M638" s="16" t="s">
        <v>3091</v>
      </c>
      <c r="N638" s="16" t="s">
        <v>3092</v>
      </c>
    </row>
    <row r="639" spans="1:14" ht="20.100000000000001" customHeight="1" x14ac:dyDescent="0.25">
      <c r="A639" s="15" t="s">
        <v>3093</v>
      </c>
      <c r="B639" s="16" t="s">
        <v>89</v>
      </c>
      <c r="C639" s="15">
        <v>8400201</v>
      </c>
      <c r="D639" s="16" t="s">
        <v>941</v>
      </c>
      <c r="E639" s="15" t="s">
        <v>3094</v>
      </c>
      <c r="F639" s="21" t="str">
        <f>HYPERLINK("https://psearch.kitsapgov.com/webappa/index.html?parcelID=1550078&amp;Theme=Imagery","1550078")</f>
        <v>1550078</v>
      </c>
      <c r="G639" s="16" t="s">
        <v>3095</v>
      </c>
      <c r="H639" s="17">
        <v>43173</v>
      </c>
      <c r="I639" s="18">
        <v>660000</v>
      </c>
      <c r="J639" s="19">
        <v>0.05</v>
      </c>
      <c r="K639" s="16" t="s">
        <v>944</v>
      </c>
      <c r="L639" s="16" t="s">
        <v>38</v>
      </c>
      <c r="M639" s="16" t="s">
        <v>3096</v>
      </c>
      <c r="N639" s="16" t="s">
        <v>3097</v>
      </c>
    </row>
    <row r="640" spans="1:14" ht="20.100000000000001" customHeight="1" x14ac:dyDescent="0.25">
      <c r="A640" s="15" t="s">
        <v>3098</v>
      </c>
      <c r="B640" s="16" t="s">
        <v>89</v>
      </c>
      <c r="C640" s="15">
        <v>8400201</v>
      </c>
      <c r="D640" s="16" t="s">
        <v>941</v>
      </c>
      <c r="E640" s="15" t="s">
        <v>3099</v>
      </c>
      <c r="F640" s="21" t="str">
        <f>HYPERLINK("https://psearch.kitsapgov.com/webappa/index.html?parcelID=1343037&amp;Theme=Imagery","1343037")</f>
        <v>1343037</v>
      </c>
      <c r="G640" s="16" t="s">
        <v>3100</v>
      </c>
      <c r="H640" s="17">
        <v>43173</v>
      </c>
      <c r="I640" s="18">
        <v>770000</v>
      </c>
      <c r="J640" s="19">
        <v>0.2</v>
      </c>
      <c r="K640" s="16" t="s">
        <v>944</v>
      </c>
      <c r="L640" s="16" t="s">
        <v>38</v>
      </c>
      <c r="M640" s="16" t="s">
        <v>3101</v>
      </c>
      <c r="N640" s="16" t="s">
        <v>3097</v>
      </c>
    </row>
    <row r="641" spans="1:14" ht="20.100000000000001" customHeight="1" x14ac:dyDescent="0.25">
      <c r="A641" s="15" t="s">
        <v>3102</v>
      </c>
      <c r="B641" s="16" t="s">
        <v>688</v>
      </c>
      <c r="C641" s="15">
        <v>8402307</v>
      </c>
      <c r="D641" s="16" t="s">
        <v>151</v>
      </c>
      <c r="E641" s="15" t="s">
        <v>3103</v>
      </c>
      <c r="F641" s="21" t="str">
        <f>HYPERLINK("https://psearch.kitsapgov.com/webappa/index.html?parcelID=2075299&amp;Theme=Imagery","2075299")</f>
        <v>2075299</v>
      </c>
      <c r="G641" s="16" t="s">
        <v>3104</v>
      </c>
      <c r="H641" s="17">
        <v>43192</v>
      </c>
      <c r="I641" s="18">
        <v>1800000</v>
      </c>
      <c r="J641" s="19">
        <v>0.72</v>
      </c>
      <c r="K641" s="16" t="s">
        <v>333</v>
      </c>
      <c r="L641" s="16" t="s">
        <v>38</v>
      </c>
      <c r="M641" s="16" t="s">
        <v>3105</v>
      </c>
      <c r="N641" s="16" t="s">
        <v>3106</v>
      </c>
    </row>
    <row r="642" spans="1:14" ht="20.100000000000001" customHeight="1" x14ac:dyDescent="0.25">
      <c r="A642" s="15" t="s">
        <v>3107</v>
      </c>
      <c r="B642" s="16" t="s">
        <v>49</v>
      </c>
      <c r="C642" s="15">
        <v>8100502</v>
      </c>
      <c r="D642" s="16" t="s">
        <v>67</v>
      </c>
      <c r="E642" s="15" t="s">
        <v>3108</v>
      </c>
      <c r="F642" s="21" t="str">
        <f>HYPERLINK("https://psearch.kitsapgov.com/webappa/index.html?parcelID=1144393&amp;Theme=Imagery","1144393")</f>
        <v>1144393</v>
      </c>
      <c r="G642" s="16" t="s">
        <v>3109</v>
      </c>
      <c r="H642" s="17">
        <v>43189</v>
      </c>
      <c r="I642" s="18">
        <v>175000</v>
      </c>
      <c r="J642" s="19">
        <v>0.11</v>
      </c>
      <c r="K642" s="16" t="s">
        <v>522</v>
      </c>
      <c r="L642" s="16" t="s">
        <v>372</v>
      </c>
      <c r="M642" s="16" t="s">
        <v>3110</v>
      </c>
      <c r="N642" s="16" t="s">
        <v>3111</v>
      </c>
    </row>
    <row r="643" spans="1:14" ht="20.100000000000001" customHeight="1" x14ac:dyDescent="0.25">
      <c r="A643" s="15" t="s">
        <v>3112</v>
      </c>
      <c r="B643" s="16" t="s">
        <v>96</v>
      </c>
      <c r="C643" s="15">
        <v>8401101</v>
      </c>
      <c r="D643" s="16" t="s">
        <v>185</v>
      </c>
      <c r="E643" s="15" t="s">
        <v>3113</v>
      </c>
      <c r="F643" s="21" t="str">
        <f>HYPERLINK("https://psearch.kitsapgov.com/webappa/index.html?parcelID=1668185&amp;Theme=Imagery","1668185")</f>
        <v>1668185</v>
      </c>
      <c r="G643" s="16" t="s">
        <v>3114</v>
      </c>
      <c r="H643" s="17">
        <v>43192</v>
      </c>
      <c r="I643" s="18">
        <v>1100000</v>
      </c>
      <c r="J643" s="19">
        <v>0.08</v>
      </c>
      <c r="K643" s="16" t="s">
        <v>188</v>
      </c>
      <c r="L643" s="16" t="s">
        <v>79</v>
      </c>
      <c r="M643" s="16" t="s">
        <v>3115</v>
      </c>
      <c r="N643" s="16" t="s">
        <v>3116</v>
      </c>
    </row>
    <row r="644" spans="1:14" ht="20.100000000000001" customHeight="1" x14ac:dyDescent="0.25">
      <c r="A644" s="15" t="s">
        <v>3117</v>
      </c>
      <c r="B644" s="16" t="s">
        <v>57</v>
      </c>
      <c r="C644" s="15">
        <v>8400301</v>
      </c>
      <c r="D644" s="16" t="s">
        <v>1139</v>
      </c>
      <c r="E644" s="15" t="s">
        <v>3118</v>
      </c>
      <c r="F644" s="21" t="str">
        <f>HYPERLINK("https://psearch.kitsapgov.com/webappa/index.html?parcelID=1406222&amp;Theme=Imagery","1406222")</f>
        <v>1406222</v>
      </c>
      <c r="G644" s="16" t="s">
        <v>3119</v>
      </c>
      <c r="H644" s="17">
        <v>43193</v>
      </c>
      <c r="I644" s="18">
        <v>315000</v>
      </c>
      <c r="J644" s="19">
        <v>1.7</v>
      </c>
      <c r="K644" s="16" t="s">
        <v>78</v>
      </c>
      <c r="L644" s="16" t="s">
        <v>38</v>
      </c>
      <c r="M644" s="16" t="s">
        <v>3120</v>
      </c>
      <c r="N644" s="16" t="s">
        <v>1206</v>
      </c>
    </row>
    <row r="645" spans="1:14" ht="20.100000000000001" customHeight="1" x14ac:dyDescent="0.25">
      <c r="A645" s="15" t="s">
        <v>3121</v>
      </c>
      <c r="B645" s="16" t="s">
        <v>57</v>
      </c>
      <c r="C645" s="15">
        <v>8401101</v>
      </c>
      <c r="D645" s="16" t="s">
        <v>185</v>
      </c>
      <c r="E645" s="15" t="s">
        <v>3122</v>
      </c>
      <c r="F645" s="21" t="str">
        <f>HYPERLINK("https://psearch.kitsapgov.com/webappa/index.html?parcelID=1224013&amp;Theme=Imagery","1224013")</f>
        <v>1224013</v>
      </c>
      <c r="G645" s="16" t="s">
        <v>3123</v>
      </c>
      <c r="H645" s="17">
        <v>43187</v>
      </c>
      <c r="I645" s="18">
        <v>800000</v>
      </c>
      <c r="J645" s="19">
        <v>4.92</v>
      </c>
      <c r="K645" s="16" t="s">
        <v>78</v>
      </c>
      <c r="L645" s="16" t="s">
        <v>20</v>
      </c>
      <c r="M645" s="16" t="s">
        <v>3124</v>
      </c>
      <c r="N645" s="16" t="s">
        <v>1928</v>
      </c>
    </row>
    <row r="646" spans="1:14" ht="20.100000000000001" customHeight="1" x14ac:dyDescent="0.25">
      <c r="A646" s="15" t="s">
        <v>3125</v>
      </c>
      <c r="B646" s="16" t="s">
        <v>57</v>
      </c>
      <c r="C646" s="15">
        <v>8401101</v>
      </c>
      <c r="D646" s="16" t="s">
        <v>185</v>
      </c>
      <c r="E646" s="15" t="s">
        <v>3122</v>
      </c>
      <c r="F646" s="21" t="str">
        <f>HYPERLINK("https://psearch.kitsapgov.com/webappa/index.html?parcelID=1224013&amp;Theme=Imagery","1224013")</f>
        <v>1224013</v>
      </c>
      <c r="G646" s="16" t="s">
        <v>3123</v>
      </c>
      <c r="H646" s="17">
        <v>43187</v>
      </c>
      <c r="I646" s="18">
        <v>1000000</v>
      </c>
      <c r="J646" s="19">
        <v>4.92</v>
      </c>
      <c r="K646" s="16" t="s">
        <v>78</v>
      </c>
      <c r="L646" s="16" t="s">
        <v>20</v>
      </c>
      <c r="M646" s="16" t="s">
        <v>1928</v>
      </c>
      <c r="N646" s="16" t="s">
        <v>3126</v>
      </c>
    </row>
    <row r="647" spans="1:14" ht="20.100000000000001" customHeight="1" x14ac:dyDescent="0.25">
      <c r="A647" s="15" t="s">
        <v>3127</v>
      </c>
      <c r="B647" s="16" t="s">
        <v>104</v>
      </c>
      <c r="C647" s="15">
        <v>9100541</v>
      </c>
      <c r="D647" s="16" t="s">
        <v>215</v>
      </c>
      <c r="E647" s="15" t="s">
        <v>2472</v>
      </c>
      <c r="F647" s="21" t="str">
        <f>HYPERLINK("https://psearch.kitsapgov.com/webappa/index.html?parcelID=2441046&amp;Theme=Imagery","2441046")</f>
        <v>2441046</v>
      </c>
      <c r="G647" s="16" t="s">
        <v>2473</v>
      </c>
      <c r="H647" s="17">
        <v>43196</v>
      </c>
      <c r="I647" s="18">
        <v>345000</v>
      </c>
      <c r="J647" s="19">
        <v>0.09</v>
      </c>
      <c r="K647" s="16" t="s">
        <v>235</v>
      </c>
      <c r="L647" s="16" t="s">
        <v>38</v>
      </c>
      <c r="M647" s="16" t="s">
        <v>3128</v>
      </c>
      <c r="N647" s="16" t="s">
        <v>3129</v>
      </c>
    </row>
    <row r="648" spans="1:14" ht="20.100000000000001" customHeight="1" x14ac:dyDescent="0.25">
      <c r="A648" s="15" t="s">
        <v>3130</v>
      </c>
      <c r="B648" s="16" t="s">
        <v>57</v>
      </c>
      <c r="C648" s="15">
        <v>8100506</v>
      </c>
      <c r="D648" s="16" t="s">
        <v>25</v>
      </c>
      <c r="E648" s="15" t="s">
        <v>1926</v>
      </c>
      <c r="F648" s="21" t="str">
        <f>HYPERLINK("https://psearch.kitsapgov.com/webappa/index.html?parcelID=2598746&amp;Theme=Imagery","2598746")</f>
        <v>2598746</v>
      </c>
      <c r="G648" s="16" t="s">
        <v>1927</v>
      </c>
      <c r="H648" s="17">
        <v>43194</v>
      </c>
      <c r="I648" s="18">
        <v>650000</v>
      </c>
      <c r="J648" s="19">
        <v>1.5</v>
      </c>
      <c r="K648" s="16" t="s">
        <v>28</v>
      </c>
      <c r="L648" s="16" t="s">
        <v>38</v>
      </c>
      <c r="M648" s="16" t="s">
        <v>1929</v>
      </c>
      <c r="N648" s="16" t="s">
        <v>3131</v>
      </c>
    </row>
    <row r="649" spans="1:14" ht="20.100000000000001" customHeight="1" x14ac:dyDescent="0.25">
      <c r="A649" s="15" t="s">
        <v>3132</v>
      </c>
      <c r="B649" s="16" t="s">
        <v>49</v>
      </c>
      <c r="C649" s="15">
        <v>9401190</v>
      </c>
      <c r="D649" s="16" t="s">
        <v>394</v>
      </c>
      <c r="E649" s="15" t="s">
        <v>3133</v>
      </c>
      <c r="F649" s="21" t="str">
        <f>HYPERLINK("https://psearch.kitsapgov.com/webappa/index.html?parcelID=1240522&amp;Theme=Imagery","1240522")</f>
        <v>1240522</v>
      </c>
      <c r="G649" s="16" t="s">
        <v>3134</v>
      </c>
      <c r="H649" s="17">
        <v>43195</v>
      </c>
      <c r="I649" s="18">
        <v>465000</v>
      </c>
      <c r="J649" s="19">
        <v>0.57999999999999996</v>
      </c>
      <c r="K649" s="16" t="s">
        <v>61</v>
      </c>
      <c r="L649" s="16" t="s">
        <v>38</v>
      </c>
      <c r="M649" s="16" t="s">
        <v>3135</v>
      </c>
      <c r="N649" s="16" t="s">
        <v>3136</v>
      </c>
    </row>
    <row r="650" spans="1:14" ht="20.100000000000001" customHeight="1" x14ac:dyDescent="0.25">
      <c r="A650" s="15" t="s">
        <v>3137</v>
      </c>
      <c r="B650" s="16" t="s">
        <v>96</v>
      </c>
      <c r="C650" s="15">
        <v>8401102</v>
      </c>
      <c r="D650" s="16" t="s">
        <v>766</v>
      </c>
      <c r="E650" s="15" t="s">
        <v>3138</v>
      </c>
      <c r="F650" s="21" t="str">
        <f>HYPERLINK("https://psearch.kitsapgov.com/webappa/index.html?parcelID=2567485&amp;Theme=Imagery","2567485")</f>
        <v>2567485</v>
      </c>
      <c r="G650" s="16" t="s">
        <v>3139</v>
      </c>
      <c r="H650" s="17">
        <v>43157</v>
      </c>
      <c r="I650" s="18">
        <v>4700</v>
      </c>
      <c r="J650" s="19">
        <v>0.52</v>
      </c>
      <c r="K650" s="16" t="s">
        <v>188</v>
      </c>
      <c r="L650" s="16" t="s">
        <v>1169</v>
      </c>
      <c r="M650" s="16" t="s">
        <v>3140</v>
      </c>
      <c r="N650" s="16" t="s">
        <v>710</v>
      </c>
    </row>
    <row r="651" spans="1:14" ht="20.100000000000001" customHeight="1" x14ac:dyDescent="0.25">
      <c r="A651" s="15" t="s">
        <v>3141</v>
      </c>
      <c r="B651" s="16" t="s">
        <v>89</v>
      </c>
      <c r="C651" s="15">
        <v>8100502</v>
      </c>
      <c r="D651" s="16" t="s">
        <v>67</v>
      </c>
      <c r="E651" s="15" t="s">
        <v>3142</v>
      </c>
      <c r="F651" s="21" t="str">
        <f>HYPERLINK("https://psearch.kitsapgov.com/webappa/index.html?parcelID=1444587&amp;Theme=Imagery","1444587")</f>
        <v>1444587</v>
      </c>
      <c r="G651" s="16" t="s">
        <v>3143</v>
      </c>
      <c r="H651" s="17">
        <v>43201</v>
      </c>
      <c r="I651" s="18">
        <v>100000</v>
      </c>
      <c r="J651" s="19">
        <v>0.31</v>
      </c>
      <c r="K651" s="16" t="s">
        <v>85</v>
      </c>
      <c r="L651" s="16" t="s">
        <v>372</v>
      </c>
      <c r="M651" s="16" t="s">
        <v>3144</v>
      </c>
      <c r="N651" s="16" t="s">
        <v>3145</v>
      </c>
    </row>
    <row r="652" spans="1:14" ht="20.100000000000001" customHeight="1" x14ac:dyDescent="0.25">
      <c r="A652" s="15" t="s">
        <v>3146</v>
      </c>
      <c r="B652" s="16" t="s">
        <v>1816</v>
      </c>
      <c r="C652" s="15">
        <v>9100542</v>
      </c>
      <c r="D652" s="16" t="s">
        <v>454</v>
      </c>
      <c r="E652" s="15" t="s">
        <v>3147</v>
      </c>
      <c r="F652" s="21" t="str">
        <f>HYPERLINK("https://psearch.kitsapgov.com/webappa/index.html?parcelID=2610574&amp;Theme=Imagery","2610574")</f>
        <v>2610574</v>
      </c>
      <c r="G652" s="16" t="s">
        <v>3148</v>
      </c>
      <c r="H652" s="17">
        <v>43207</v>
      </c>
      <c r="I652" s="18">
        <v>1900000</v>
      </c>
      <c r="J652" s="19">
        <v>1.37</v>
      </c>
      <c r="K652" s="16" t="s">
        <v>235</v>
      </c>
      <c r="L652" s="16" t="s">
        <v>38</v>
      </c>
      <c r="M652" s="16" t="s">
        <v>3149</v>
      </c>
      <c r="N652" s="16" t="s">
        <v>3150</v>
      </c>
    </row>
    <row r="653" spans="1:14" ht="20.100000000000001" customHeight="1" x14ac:dyDescent="0.25">
      <c r="A653" s="15" t="s">
        <v>3151</v>
      </c>
      <c r="B653" s="16" t="s">
        <v>347</v>
      </c>
      <c r="C653" s="15">
        <v>8402307</v>
      </c>
      <c r="D653" s="16" t="s">
        <v>151</v>
      </c>
      <c r="E653" s="15" t="s">
        <v>3152</v>
      </c>
      <c r="F653" s="21" t="str">
        <f>HYPERLINK("https://psearch.kitsapgov.com/webappa/index.html?parcelID=2300044&amp;Theme=Imagery","2300044")</f>
        <v>2300044</v>
      </c>
      <c r="G653" s="16" t="s">
        <v>3153</v>
      </c>
      <c r="H653" s="17">
        <v>43203</v>
      </c>
      <c r="I653" s="18">
        <v>695000</v>
      </c>
      <c r="J653" s="19">
        <v>0.38</v>
      </c>
      <c r="K653" s="16" t="s">
        <v>78</v>
      </c>
      <c r="L653" s="16" t="s">
        <v>20</v>
      </c>
      <c r="M653" s="16" t="s">
        <v>3154</v>
      </c>
      <c r="N653" s="16" t="s">
        <v>3155</v>
      </c>
    </row>
    <row r="654" spans="1:14" ht="20.100000000000001" customHeight="1" x14ac:dyDescent="0.25">
      <c r="A654" s="15" t="s">
        <v>3156</v>
      </c>
      <c r="B654" s="16" t="s">
        <v>89</v>
      </c>
      <c r="C654" s="15">
        <v>8100510</v>
      </c>
      <c r="D654" s="16" t="s">
        <v>401</v>
      </c>
      <c r="E654" s="15" t="s">
        <v>3157</v>
      </c>
      <c r="F654" s="21" t="str">
        <f>HYPERLINK("https://psearch.kitsapgov.com/webappa/index.html?parcelID=1438654&amp;Theme=Imagery","1438654")</f>
        <v>1438654</v>
      </c>
      <c r="G654" s="16" t="s">
        <v>3158</v>
      </c>
      <c r="H654" s="17">
        <v>43209</v>
      </c>
      <c r="I654" s="18">
        <v>300000</v>
      </c>
      <c r="J654" s="19">
        <v>0.28000000000000003</v>
      </c>
      <c r="K654" s="16" t="s">
        <v>28</v>
      </c>
      <c r="L654" s="16" t="s">
        <v>38</v>
      </c>
      <c r="M654" s="16" t="s">
        <v>1473</v>
      </c>
      <c r="N654" s="16" t="s">
        <v>3159</v>
      </c>
    </row>
    <row r="655" spans="1:14" ht="20.100000000000001" customHeight="1" x14ac:dyDescent="0.25">
      <c r="A655" s="15" t="s">
        <v>3160</v>
      </c>
      <c r="B655" s="16" t="s">
        <v>688</v>
      </c>
      <c r="C655" s="15">
        <v>8400301</v>
      </c>
      <c r="D655" s="16" t="s">
        <v>1139</v>
      </c>
      <c r="E655" s="15" t="s">
        <v>3161</v>
      </c>
      <c r="F655" s="21" t="str">
        <f>HYPERLINK("https://psearch.kitsapgov.com/webappa/index.html?parcelID=1405653&amp;Theme=Imagery","1405653")</f>
        <v>1405653</v>
      </c>
      <c r="G655" s="16" t="s">
        <v>3162</v>
      </c>
      <c r="H655" s="17">
        <v>43215</v>
      </c>
      <c r="I655" s="18">
        <v>2500000</v>
      </c>
      <c r="J655" s="19">
        <v>1.59</v>
      </c>
      <c r="K655" s="16" t="s">
        <v>78</v>
      </c>
      <c r="L655" s="16" t="s">
        <v>38</v>
      </c>
      <c r="M655" s="16" t="s">
        <v>3163</v>
      </c>
      <c r="N655" s="16" t="s">
        <v>3164</v>
      </c>
    </row>
    <row r="656" spans="1:14" ht="20.100000000000001" customHeight="1" x14ac:dyDescent="0.25">
      <c r="A656" s="15" t="s">
        <v>3165</v>
      </c>
      <c r="B656" s="16" t="s">
        <v>57</v>
      </c>
      <c r="C656" s="15">
        <v>8100506</v>
      </c>
      <c r="D656" s="16" t="s">
        <v>25</v>
      </c>
      <c r="E656" s="15" t="s">
        <v>3166</v>
      </c>
      <c r="F656" s="21" t="str">
        <f>HYPERLINK("https://psearch.kitsapgov.com/webappa/index.html?parcelID=1493675&amp;Theme=Imagery","1493675")</f>
        <v>1493675</v>
      </c>
      <c r="G656" s="16" t="s">
        <v>3167</v>
      </c>
      <c r="H656" s="17">
        <v>43215</v>
      </c>
      <c r="I656" s="18">
        <v>125000</v>
      </c>
      <c r="J656" s="19">
        <v>0.28999999999999998</v>
      </c>
      <c r="K656" s="16" t="s">
        <v>28</v>
      </c>
      <c r="L656" s="16" t="s">
        <v>174</v>
      </c>
      <c r="M656" s="16" t="s">
        <v>3168</v>
      </c>
      <c r="N656" s="16" t="s">
        <v>3169</v>
      </c>
    </row>
    <row r="657" spans="1:14" ht="20.100000000000001" customHeight="1" x14ac:dyDescent="0.25">
      <c r="A657" s="15" t="s">
        <v>3170</v>
      </c>
      <c r="B657" s="16" t="s">
        <v>688</v>
      </c>
      <c r="C657" s="15">
        <v>8400202</v>
      </c>
      <c r="D657" s="16" t="s">
        <v>158</v>
      </c>
      <c r="E657" s="15" t="s">
        <v>3171</v>
      </c>
      <c r="F657" s="21" t="str">
        <f>HYPERLINK("https://psearch.kitsapgov.com/webappa/index.html?parcelID=2334795&amp;Theme=Imagery","2334795")</f>
        <v>2334795</v>
      </c>
      <c r="G657" s="16" t="s">
        <v>3172</v>
      </c>
      <c r="H657" s="17">
        <v>43216</v>
      </c>
      <c r="I657" s="18">
        <v>3450000</v>
      </c>
      <c r="J657" s="19">
        <v>0.97</v>
      </c>
      <c r="K657" s="16" t="s">
        <v>100</v>
      </c>
      <c r="L657" s="16" t="s">
        <v>38</v>
      </c>
      <c r="M657" s="16" t="s">
        <v>3173</v>
      </c>
      <c r="N657" s="16" t="s">
        <v>3174</v>
      </c>
    </row>
    <row r="658" spans="1:14" ht="20.100000000000001" customHeight="1" x14ac:dyDescent="0.25">
      <c r="A658" s="15" t="s">
        <v>3175</v>
      </c>
      <c r="B658" s="16" t="s">
        <v>214</v>
      </c>
      <c r="C658" s="15">
        <v>9402395</v>
      </c>
      <c r="D658" s="16" t="s">
        <v>580</v>
      </c>
      <c r="E658" s="15" t="s">
        <v>3176</v>
      </c>
      <c r="F658" s="21" t="str">
        <f>HYPERLINK("https://psearch.kitsapgov.com/webappa/index.html?parcelID=1502509&amp;Theme=Imagery","1502509")</f>
        <v>1502509</v>
      </c>
      <c r="G658" s="16" t="s">
        <v>3177</v>
      </c>
      <c r="H658" s="17">
        <v>43217</v>
      </c>
      <c r="I658" s="18">
        <v>380000</v>
      </c>
      <c r="J658" s="19">
        <v>0.26</v>
      </c>
      <c r="K658" s="16" t="s">
        <v>274</v>
      </c>
      <c r="L658" s="16" t="s">
        <v>38</v>
      </c>
      <c r="M658" s="16" t="s">
        <v>3178</v>
      </c>
      <c r="N658" s="16" t="s">
        <v>3179</v>
      </c>
    </row>
    <row r="659" spans="1:14" ht="20.100000000000001" customHeight="1" x14ac:dyDescent="0.25">
      <c r="A659" s="15" t="s">
        <v>3180</v>
      </c>
      <c r="B659" s="16" t="s">
        <v>3181</v>
      </c>
      <c r="C659" s="15">
        <v>8402307</v>
      </c>
      <c r="D659" s="16" t="s">
        <v>151</v>
      </c>
      <c r="E659" s="15" t="s">
        <v>3182</v>
      </c>
      <c r="F659" s="21" t="str">
        <f>HYPERLINK("https://psearch.kitsapgov.com/webappa/index.html?parcelID=1205822&amp;Theme=Imagery","1205822")</f>
        <v>1205822</v>
      </c>
      <c r="G659" s="16" t="s">
        <v>3183</v>
      </c>
      <c r="H659" s="17">
        <v>43217</v>
      </c>
      <c r="I659" s="18">
        <v>320000</v>
      </c>
      <c r="J659" s="19">
        <v>4.72</v>
      </c>
      <c r="K659" s="16" t="s">
        <v>147</v>
      </c>
      <c r="L659" s="16" t="s">
        <v>38</v>
      </c>
      <c r="M659" s="16" t="s">
        <v>3184</v>
      </c>
      <c r="N659" s="16" t="s">
        <v>3185</v>
      </c>
    </row>
    <row r="660" spans="1:14" ht="20.100000000000001" customHeight="1" x14ac:dyDescent="0.25">
      <c r="A660" s="15" t="s">
        <v>3186</v>
      </c>
      <c r="B660" s="16" t="s">
        <v>96</v>
      </c>
      <c r="C660" s="15">
        <v>8401101</v>
      </c>
      <c r="D660" s="16" t="s">
        <v>185</v>
      </c>
      <c r="E660" s="15" t="s">
        <v>3187</v>
      </c>
      <c r="F660" s="21" t="str">
        <f>HYPERLINK("https://psearch.kitsapgov.com/webappa/index.html?parcelID=1242585&amp;Theme=Imagery","1242585")</f>
        <v>1242585</v>
      </c>
      <c r="G660" s="16" t="s">
        <v>3188</v>
      </c>
      <c r="H660" s="17">
        <v>43216</v>
      </c>
      <c r="I660" s="18">
        <v>3160000</v>
      </c>
      <c r="J660" s="19">
        <v>1.1599999999999999</v>
      </c>
      <c r="K660" s="16" t="s">
        <v>188</v>
      </c>
      <c r="L660" s="16" t="s">
        <v>38</v>
      </c>
      <c r="M660" s="16" t="s">
        <v>3189</v>
      </c>
      <c r="N660" s="16" t="s">
        <v>3190</v>
      </c>
    </row>
    <row r="661" spans="1:14" ht="20.100000000000001" customHeight="1" x14ac:dyDescent="0.25">
      <c r="A661" s="15" t="s">
        <v>3191</v>
      </c>
      <c r="B661" s="16" t="s">
        <v>347</v>
      </c>
      <c r="C661" s="15">
        <v>8100502</v>
      </c>
      <c r="D661" s="16" t="s">
        <v>67</v>
      </c>
      <c r="E661" s="15" t="s">
        <v>3192</v>
      </c>
      <c r="F661" s="21" t="str">
        <f>HYPERLINK("https://psearch.kitsapgov.com/webappa/index.html?parcelID=1147354&amp;Theme=Imagery","1147354")</f>
        <v>1147354</v>
      </c>
      <c r="G661" s="16" t="s">
        <v>3193</v>
      </c>
      <c r="H661" s="17">
        <v>43223</v>
      </c>
      <c r="I661" s="18">
        <v>525000</v>
      </c>
      <c r="J661" s="19">
        <v>0.59</v>
      </c>
      <c r="K661" s="16" t="s">
        <v>3194</v>
      </c>
      <c r="L661" s="16" t="s">
        <v>38</v>
      </c>
      <c r="M661" s="16" t="s">
        <v>3195</v>
      </c>
      <c r="N661" s="16" t="s">
        <v>3196</v>
      </c>
    </row>
    <row r="662" spans="1:14" ht="20.100000000000001" customHeight="1" x14ac:dyDescent="0.25">
      <c r="A662" s="15" t="s">
        <v>3197</v>
      </c>
      <c r="B662" s="16" t="s">
        <v>96</v>
      </c>
      <c r="C662" s="15">
        <v>8100502</v>
      </c>
      <c r="D662" s="16" t="s">
        <v>67</v>
      </c>
      <c r="E662" s="15" t="s">
        <v>3198</v>
      </c>
      <c r="F662" s="21" t="str">
        <f>HYPERLINK("https://psearch.kitsapgov.com/webappa/index.html?parcelID=2361483&amp;Theme=Imagery","2361483")</f>
        <v>2361483</v>
      </c>
      <c r="G662" s="16" t="s">
        <v>3199</v>
      </c>
      <c r="H662" s="17">
        <v>43222</v>
      </c>
      <c r="I662" s="18">
        <v>345232</v>
      </c>
      <c r="J662" s="19">
        <v>0.36</v>
      </c>
      <c r="K662" s="16" t="s">
        <v>85</v>
      </c>
      <c r="L662" s="16" t="s">
        <v>38</v>
      </c>
      <c r="M662" s="16" t="s">
        <v>3200</v>
      </c>
      <c r="N662" s="16" t="s">
        <v>3201</v>
      </c>
    </row>
    <row r="663" spans="1:14" ht="20.100000000000001" customHeight="1" x14ac:dyDescent="0.25">
      <c r="A663" s="15" t="s">
        <v>3202</v>
      </c>
      <c r="B663" s="16" t="s">
        <v>286</v>
      </c>
      <c r="C663" s="15">
        <v>8303660</v>
      </c>
      <c r="D663" s="16" t="s">
        <v>313</v>
      </c>
      <c r="E663" s="15" t="s">
        <v>3203</v>
      </c>
      <c r="F663" s="21" t="str">
        <f>HYPERLINK("https://psearch.kitsapgov.com/webappa/index.html?parcelID=1882968&amp;Theme=Imagery","1882968")</f>
        <v>1882968</v>
      </c>
      <c r="G663" s="16" t="s">
        <v>3204</v>
      </c>
      <c r="H663" s="17">
        <v>43224</v>
      </c>
      <c r="I663" s="18">
        <v>75000</v>
      </c>
      <c r="J663" s="19">
        <v>0</v>
      </c>
      <c r="L663" s="16" t="s">
        <v>290</v>
      </c>
      <c r="M663" s="16" t="s">
        <v>3205</v>
      </c>
      <c r="N663" s="16" t="s">
        <v>3206</v>
      </c>
    </row>
    <row r="664" spans="1:14" ht="20.100000000000001" customHeight="1" x14ac:dyDescent="0.25">
      <c r="A664" s="15" t="s">
        <v>3207</v>
      </c>
      <c r="B664" s="16" t="s">
        <v>57</v>
      </c>
      <c r="C664" s="15">
        <v>8400301</v>
      </c>
      <c r="D664" s="16" t="s">
        <v>1139</v>
      </c>
      <c r="E664" s="15" t="s">
        <v>3208</v>
      </c>
      <c r="F664" s="21" t="str">
        <f>HYPERLINK("https://psearch.kitsapgov.com/webappa/index.html?parcelID=2018893&amp;Theme=Imagery","2018893")</f>
        <v>2018893</v>
      </c>
      <c r="G664" s="16" t="s">
        <v>3209</v>
      </c>
      <c r="H664" s="17">
        <v>43230</v>
      </c>
      <c r="I664" s="18">
        <v>80000</v>
      </c>
      <c r="J664" s="19">
        <v>4.91</v>
      </c>
      <c r="K664" s="16" t="s">
        <v>61</v>
      </c>
      <c r="L664" s="16" t="s">
        <v>38</v>
      </c>
      <c r="M664" s="16" t="s">
        <v>3210</v>
      </c>
      <c r="N664" s="16" t="s">
        <v>3211</v>
      </c>
    </row>
    <row r="665" spans="1:14" ht="20.100000000000001" customHeight="1" x14ac:dyDescent="0.25">
      <c r="A665" s="15" t="s">
        <v>3212</v>
      </c>
      <c r="B665" s="16" t="s">
        <v>407</v>
      </c>
      <c r="C665" s="15">
        <v>8303601</v>
      </c>
      <c r="D665" s="16" t="s">
        <v>50</v>
      </c>
      <c r="E665" s="15" t="s">
        <v>3213</v>
      </c>
      <c r="F665" s="21" t="str">
        <f>HYPERLINK("https://psearch.kitsapgov.com/webappa/index.html?parcelID=2433829&amp;Theme=Imagery","2433829")</f>
        <v>2433829</v>
      </c>
      <c r="G665" s="16" t="s">
        <v>3214</v>
      </c>
      <c r="H665" s="17">
        <v>43229</v>
      </c>
      <c r="I665" s="18">
        <v>170000</v>
      </c>
      <c r="J665" s="19">
        <v>0</v>
      </c>
      <c r="L665" s="16" t="s">
        <v>38</v>
      </c>
      <c r="M665" s="16" t="s">
        <v>3215</v>
      </c>
      <c r="N665" s="16" t="s">
        <v>3216</v>
      </c>
    </row>
    <row r="666" spans="1:14" ht="20.100000000000001" customHeight="1" x14ac:dyDescent="0.25">
      <c r="A666" s="15" t="s">
        <v>3217</v>
      </c>
      <c r="B666" s="16" t="s">
        <v>96</v>
      </c>
      <c r="C666" s="15">
        <v>8303601</v>
      </c>
      <c r="D666" s="16" t="s">
        <v>50</v>
      </c>
      <c r="E666" s="15" t="s">
        <v>3218</v>
      </c>
      <c r="F666" s="21" t="str">
        <f>HYPERLINK("https://psearch.kitsapgov.com/webappa/index.html?parcelID=1305077&amp;Theme=Imagery","1305077")</f>
        <v>1305077</v>
      </c>
      <c r="G666" s="16" t="s">
        <v>3219</v>
      </c>
      <c r="H666" s="17">
        <v>43228</v>
      </c>
      <c r="I666" s="18">
        <v>1125000</v>
      </c>
      <c r="J666" s="19">
        <v>0.53</v>
      </c>
      <c r="K666" s="16" t="s">
        <v>205</v>
      </c>
      <c r="L666" s="16" t="s">
        <v>38</v>
      </c>
      <c r="M666" s="16" t="s">
        <v>3220</v>
      </c>
      <c r="N666" s="16" t="s">
        <v>3221</v>
      </c>
    </row>
    <row r="667" spans="1:14" ht="20.100000000000001" customHeight="1" x14ac:dyDescent="0.25">
      <c r="A667" s="15" t="s">
        <v>3222</v>
      </c>
      <c r="B667" s="16" t="s">
        <v>286</v>
      </c>
      <c r="C667" s="15">
        <v>8400206</v>
      </c>
      <c r="D667" s="16" t="s">
        <v>287</v>
      </c>
      <c r="E667" s="15" t="s">
        <v>3223</v>
      </c>
      <c r="F667" s="21" t="str">
        <f>HYPERLINK("https://psearch.kitsapgov.com/webappa/index.html?parcelID=2071900&amp;Theme=Imagery","2071900")</f>
        <v>2071900</v>
      </c>
      <c r="G667" s="16" t="s">
        <v>609</v>
      </c>
      <c r="H667" s="17">
        <v>43237</v>
      </c>
      <c r="I667" s="18">
        <v>12000</v>
      </c>
      <c r="J667" s="19">
        <v>0</v>
      </c>
      <c r="L667" s="16" t="s">
        <v>290</v>
      </c>
      <c r="M667" s="16" t="s">
        <v>3224</v>
      </c>
      <c r="N667" s="16" t="s">
        <v>3225</v>
      </c>
    </row>
    <row r="668" spans="1:14" ht="20.100000000000001" customHeight="1" x14ac:dyDescent="0.25">
      <c r="A668" s="15" t="s">
        <v>3226</v>
      </c>
      <c r="B668" s="16" t="s">
        <v>49</v>
      </c>
      <c r="C668" s="15">
        <v>9402395</v>
      </c>
      <c r="D668" s="16" t="s">
        <v>580</v>
      </c>
      <c r="E668" s="15" t="s">
        <v>2947</v>
      </c>
      <c r="F668" s="21" t="str">
        <f>HYPERLINK("https://psearch.kitsapgov.com/webappa/index.html?parcelID=1738848&amp;Theme=Imagery","1738848")</f>
        <v>1738848</v>
      </c>
      <c r="G668" s="16" t="s">
        <v>1090</v>
      </c>
      <c r="H668" s="17">
        <v>43220</v>
      </c>
      <c r="I668" s="18">
        <v>170000</v>
      </c>
      <c r="J668" s="19">
        <v>0.16</v>
      </c>
      <c r="K668" s="16" t="s">
        <v>37</v>
      </c>
      <c r="L668" s="16" t="s">
        <v>20</v>
      </c>
      <c r="M668" s="16" t="s">
        <v>2948</v>
      </c>
      <c r="N668" s="16" t="s">
        <v>3227</v>
      </c>
    </row>
    <row r="669" spans="1:14" ht="20.100000000000001" customHeight="1" x14ac:dyDescent="0.25">
      <c r="A669" s="15" t="s">
        <v>3228</v>
      </c>
      <c r="B669" s="16" t="s">
        <v>688</v>
      </c>
      <c r="C669" s="15">
        <v>8401104</v>
      </c>
      <c r="D669" s="16" t="s">
        <v>144</v>
      </c>
      <c r="E669" s="15" t="s">
        <v>3229</v>
      </c>
      <c r="F669" s="21" t="str">
        <f>HYPERLINK("https://psearch.kitsapgov.com/webappa/index.html?parcelID=1115567&amp;Theme=Imagery","1115567")</f>
        <v>1115567</v>
      </c>
      <c r="G669" s="16" t="s">
        <v>3230</v>
      </c>
      <c r="H669" s="17">
        <v>43217</v>
      </c>
      <c r="I669" s="18">
        <v>3140000</v>
      </c>
      <c r="J669" s="19">
        <v>3.81</v>
      </c>
      <c r="K669" s="16" t="s">
        <v>194</v>
      </c>
      <c r="L669" s="16" t="s">
        <v>38</v>
      </c>
      <c r="M669" s="16" t="s">
        <v>3231</v>
      </c>
      <c r="N669" s="16" t="s">
        <v>3232</v>
      </c>
    </row>
    <row r="670" spans="1:14" ht="20.100000000000001" customHeight="1" x14ac:dyDescent="0.25">
      <c r="A670" s="15" t="s">
        <v>3233</v>
      </c>
      <c r="B670" s="16" t="s">
        <v>1689</v>
      </c>
      <c r="C670" s="15">
        <v>9402390</v>
      </c>
      <c r="D670" s="16" t="s">
        <v>271</v>
      </c>
      <c r="E670" s="15" t="s">
        <v>3234</v>
      </c>
      <c r="F670" s="21" t="str">
        <f>HYPERLINK("https://psearch.kitsapgov.com/webappa/index.html?parcelID=1966118&amp;Theme=Imagery","1966118")</f>
        <v>1966118</v>
      </c>
      <c r="G670" s="16" t="s">
        <v>3235</v>
      </c>
      <c r="H670" s="17">
        <v>43243</v>
      </c>
      <c r="I670" s="18">
        <v>2205000</v>
      </c>
      <c r="J670" s="19">
        <v>1.03</v>
      </c>
      <c r="K670" s="16" t="s">
        <v>397</v>
      </c>
      <c r="L670" s="16" t="s">
        <v>38</v>
      </c>
      <c r="M670" s="16" t="s">
        <v>3236</v>
      </c>
      <c r="N670" s="16" t="s">
        <v>3237</v>
      </c>
    </row>
    <row r="671" spans="1:14" ht="20.100000000000001" customHeight="1" x14ac:dyDescent="0.25">
      <c r="A671" s="15" t="s">
        <v>3238</v>
      </c>
      <c r="B671" s="16" t="s">
        <v>49</v>
      </c>
      <c r="C671" s="15">
        <v>9402395</v>
      </c>
      <c r="D671" s="16" t="s">
        <v>580</v>
      </c>
      <c r="E671" s="15" t="s">
        <v>3239</v>
      </c>
      <c r="F671" s="21" t="str">
        <f>HYPERLINK("https://psearch.kitsapgov.com/webappa/index.html?parcelID=1738780&amp;Theme=Imagery","1738780")</f>
        <v>1738780</v>
      </c>
      <c r="G671" s="16" t="s">
        <v>3240</v>
      </c>
      <c r="H671" s="17">
        <v>43222</v>
      </c>
      <c r="I671" s="18">
        <v>275200</v>
      </c>
      <c r="J671" s="19">
        <v>0.11</v>
      </c>
      <c r="K671" s="16" t="s">
        <v>37</v>
      </c>
      <c r="L671" s="16" t="s">
        <v>38</v>
      </c>
      <c r="M671" s="16" t="s">
        <v>3241</v>
      </c>
      <c r="N671" s="16" t="s">
        <v>3242</v>
      </c>
    </row>
    <row r="672" spans="1:14" ht="20.100000000000001" customHeight="1" x14ac:dyDescent="0.25">
      <c r="A672" s="15" t="s">
        <v>3243</v>
      </c>
      <c r="B672" s="16" t="s">
        <v>89</v>
      </c>
      <c r="C672" s="15">
        <v>8401102</v>
      </c>
      <c r="D672" s="16" t="s">
        <v>766</v>
      </c>
      <c r="E672" s="15" t="s">
        <v>1048</v>
      </c>
      <c r="F672" s="21" t="str">
        <f>HYPERLINK("https://psearch.kitsapgov.com/webappa/index.html?parcelID=1245927&amp;Theme=Imagery","1245927")</f>
        <v>1245927</v>
      </c>
      <c r="G672" s="16" t="s">
        <v>1049</v>
      </c>
      <c r="H672" s="17">
        <v>43153</v>
      </c>
      <c r="I672" s="18">
        <v>6255</v>
      </c>
      <c r="J672" s="19">
        <v>0.11</v>
      </c>
      <c r="K672" s="16" t="s">
        <v>188</v>
      </c>
      <c r="L672" s="16" t="s">
        <v>1169</v>
      </c>
      <c r="M672" s="16" t="s">
        <v>1051</v>
      </c>
      <c r="N672" s="16" t="s">
        <v>710</v>
      </c>
    </row>
    <row r="673" spans="1:14" ht="20.100000000000001" customHeight="1" x14ac:dyDescent="0.25">
      <c r="A673" s="15" t="s">
        <v>3244</v>
      </c>
      <c r="B673" s="16" t="s">
        <v>33</v>
      </c>
      <c r="C673" s="15">
        <v>8401102</v>
      </c>
      <c r="D673" s="16" t="s">
        <v>766</v>
      </c>
      <c r="E673" s="15" t="s">
        <v>3245</v>
      </c>
      <c r="F673" s="21" t="str">
        <f>HYPERLINK("https://psearch.kitsapgov.com/webappa/index.html?parcelID=1659168&amp;Theme=Imagery","1659168")</f>
        <v>1659168</v>
      </c>
      <c r="G673" s="16" t="s">
        <v>3246</v>
      </c>
      <c r="H673" s="17">
        <v>43207</v>
      </c>
      <c r="I673" s="18">
        <v>408</v>
      </c>
      <c r="J673" s="19">
        <v>0.11</v>
      </c>
      <c r="K673" s="16" t="s">
        <v>188</v>
      </c>
      <c r="L673" s="16" t="s">
        <v>1169</v>
      </c>
      <c r="M673" s="16" t="s">
        <v>3247</v>
      </c>
      <c r="N673" s="16" t="s">
        <v>710</v>
      </c>
    </row>
    <row r="674" spans="1:14" ht="20.100000000000001" customHeight="1" x14ac:dyDescent="0.25">
      <c r="A674" s="15" t="s">
        <v>3248</v>
      </c>
      <c r="B674" s="16" t="s">
        <v>49</v>
      </c>
      <c r="C674" s="15">
        <v>8402308</v>
      </c>
      <c r="D674" s="16" t="s">
        <v>75</v>
      </c>
      <c r="E674" s="15" t="s">
        <v>3249</v>
      </c>
      <c r="F674" s="21" t="str">
        <f>HYPERLINK("https://psearch.kitsapgov.com/webappa/index.html?parcelID=1167626&amp;Theme=Imagery","1167626")</f>
        <v>1167626</v>
      </c>
      <c r="G674" s="16" t="s">
        <v>3250</v>
      </c>
      <c r="H674" s="17">
        <v>43246</v>
      </c>
      <c r="I674" s="18">
        <v>35000</v>
      </c>
      <c r="J674" s="19">
        <v>0.76</v>
      </c>
      <c r="K674" s="16" t="s">
        <v>672</v>
      </c>
      <c r="L674" s="16" t="s">
        <v>372</v>
      </c>
      <c r="M674" s="16" t="s">
        <v>3251</v>
      </c>
      <c r="N674" s="16" t="s">
        <v>3252</v>
      </c>
    </row>
    <row r="675" spans="1:14" ht="20.100000000000001" customHeight="1" x14ac:dyDescent="0.25">
      <c r="A675" s="15" t="s">
        <v>3253</v>
      </c>
      <c r="B675" s="16" t="s">
        <v>286</v>
      </c>
      <c r="C675" s="15">
        <v>8303660</v>
      </c>
      <c r="D675" s="16" t="s">
        <v>313</v>
      </c>
      <c r="E675" s="15" t="s">
        <v>3254</v>
      </c>
      <c r="F675" s="21" t="str">
        <f>HYPERLINK("https://psearch.kitsapgov.com/webappa/index.html?parcelID=1880962&amp;Theme=Imagery","1880962")</f>
        <v>1880962</v>
      </c>
      <c r="G675" s="16" t="s">
        <v>3255</v>
      </c>
      <c r="H675" s="17">
        <v>43249</v>
      </c>
      <c r="I675" s="18">
        <v>85000</v>
      </c>
      <c r="J675" s="19">
        <v>0</v>
      </c>
      <c r="L675" s="16" t="s">
        <v>246</v>
      </c>
      <c r="M675" s="16" t="s">
        <v>3256</v>
      </c>
      <c r="N675" s="16" t="s">
        <v>3257</v>
      </c>
    </row>
    <row r="676" spans="1:14" ht="20.100000000000001" customHeight="1" x14ac:dyDescent="0.25">
      <c r="A676" s="15" t="s">
        <v>3258</v>
      </c>
      <c r="B676" s="16" t="s">
        <v>286</v>
      </c>
      <c r="C676" s="15">
        <v>8400206</v>
      </c>
      <c r="D676" s="16" t="s">
        <v>287</v>
      </c>
      <c r="E676" s="15" t="s">
        <v>3259</v>
      </c>
      <c r="F676" s="21" t="str">
        <f>HYPERLINK("https://psearch.kitsapgov.com/webappa/index.html?parcelID=2071959&amp;Theme=Imagery","2071959")</f>
        <v>2071959</v>
      </c>
      <c r="G676" s="16" t="s">
        <v>289</v>
      </c>
      <c r="H676" s="17">
        <v>43242</v>
      </c>
      <c r="I676" s="18">
        <v>30000</v>
      </c>
      <c r="J676" s="19">
        <v>0</v>
      </c>
      <c r="L676" s="16" t="s">
        <v>38</v>
      </c>
      <c r="M676" s="16" t="s">
        <v>3260</v>
      </c>
      <c r="N676" s="16" t="s">
        <v>3261</v>
      </c>
    </row>
    <row r="677" spans="1:14" ht="20.100000000000001" customHeight="1" x14ac:dyDescent="0.25">
      <c r="A677" s="15" t="s">
        <v>3262</v>
      </c>
      <c r="B677" s="16" t="s">
        <v>96</v>
      </c>
      <c r="C677" s="15">
        <v>8100502</v>
      </c>
      <c r="D677" s="16" t="s">
        <v>67</v>
      </c>
      <c r="E677" s="15" t="s">
        <v>3263</v>
      </c>
      <c r="F677" s="21" t="str">
        <f>HYPERLINK("https://psearch.kitsapgov.com/webappa/index.html?parcelID=1151950&amp;Theme=Imagery","1151950")</f>
        <v>1151950</v>
      </c>
      <c r="G677" s="16" t="s">
        <v>3264</v>
      </c>
      <c r="H677" s="17">
        <v>43244</v>
      </c>
      <c r="I677" s="18">
        <v>210000</v>
      </c>
      <c r="J677" s="19">
        <v>0.24</v>
      </c>
      <c r="K677" s="16" t="s">
        <v>85</v>
      </c>
      <c r="L677" s="16" t="s">
        <v>38</v>
      </c>
      <c r="M677" s="16" t="s">
        <v>3265</v>
      </c>
      <c r="N677" s="16" t="s">
        <v>3266</v>
      </c>
    </row>
    <row r="678" spans="1:14" ht="20.100000000000001" customHeight="1" x14ac:dyDescent="0.25">
      <c r="A678" s="15" t="s">
        <v>3267</v>
      </c>
      <c r="B678" s="16" t="s">
        <v>49</v>
      </c>
      <c r="C678" s="15">
        <v>8303601</v>
      </c>
      <c r="D678" s="16" t="s">
        <v>50</v>
      </c>
      <c r="E678" s="15" t="s">
        <v>3268</v>
      </c>
      <c r="F678" s="21" t="str">
        <f>HYPERLINK("https://psearch.kitsapgov.com/webappa/index.html?parcelID=1305580&amp;Theme=Imagery","1305580")</f>
        <v>1305580</v>
      </c>
      <c r="G678" s="16" t="s">
        <v>1685</v>
      </c>
      <c r="H678" s="17">
        <v>43244</v>
      </c>
      <c r="I678" s="18">
        <v>670000</v>
      </c>
      <c r="J678" s="19">
        <v>0.31</v>
      </c>
      <c r="K678" s="16" t="s">
        <v>205</v>
      </c>
      <c r="L678" s="16" t="s">
        <v>372</v>
      </c>
      <c r="M678" s="16" t="s">
        <v>3269</v>
      </c>
      <c r="N678" s="16" t="s">
        <v>3270</v>
      </c>
    </row>
    <row r="679" spans="1:14" ht="20.100000000000001" customHeight="1" x14ac:dyDescent="0.25">
      <c r="A679" s="15" t="s">
        <v>3271</v>
      </c>
      <c r="B679" s="16" t="s">
        <v>3272</v>
      </c>
      <c r="C679" s="15">
        <v>8402307</v>
      </c>
      <c r="D679" s="16" t="s">
        <v>151</v>
      </c>
      <c r="E679" s="15" t="s">
        <v>3273</v>
      </c>
      <c r="F679" s="21" t="str">
        <f>HYPERLINK("https://psearch.kitsapgov.com/webappa/index.html?parcelID=1048750&amp;Theme=Imagery","1048750")</f>
        <v>1048750</v>
      </c>
      <c r="G679" s="16" t="s">
        <v>3274</v>
      </c>
      <c r="H679" s="17">
        <v>43223</v>
      </c>
      <c r="I679" s="18">
        <v>400000</v>
      </c>
      <c r="J679" s="19">
        <v>2.0099999999999998</v>
      </c>
      <c r="K679" s="16" t="s">
        <v>371</v>
      </c>
      <c r="L679" s="16" t="s">
        <v>372</v>
      </c>
      <c r="M679" s="16" t="s">
        <v>3275</v>
      </c>
      <c r="N679" s="16" t="s">
        <v>2060</v>
      </c>
    </row>
    <row r="680" spans="1:14" ht="20.100000000000001" customHeight="1" x14ac:dyDescent="0.25">
      <c r="A680" s="15" t="s">
        <v>3276</v>
      </c>
      <c r="B680" s="16" t="s">
        <v>318</v>
      </c>
      <c r="C680" s="15">
        <v>8402391</v>
      </c>
      <c r="D680" s="16" t="s">
        <v>227</v>
      </c>
      <c r="E680" s="15" t="s">
        <v>3277</v>
      </c>
      <c r="F680" s="21" t="str">
        <f>HYPERLINK("https://psearch.kitsapgov.com/webappa/index.html?parcelID=2455962&amp;Theme=Imagery","2455962")</f>
        <v>2455962</v>
      </c>
      <c r="G680" s="16" t="s">
        <v>3278</v>
      </c>
      <c r="H680" s="17">
        <v>43235</v>
      </c>
      <c r="I680" s="18">
        <v>45000</v>
      </c>
      <c r="J680" s="19">
        <v>0</v>
      </c>
      <c r="L680" s="16" t="s">
        <v>38</v>
      </c>
      <c r="M680" s="16" t="s">
        <v>3279</v>
      </c>
      <c r="N680" s="16" t="s">
        <v>3280</v>
      </c>
    </row>
    <row r="681" spans="1:14" ht="20.100000000000001" customHeight="1" x14ac:dyDescent="0.25">
      <c r="A681" s="15" t="s">
        <v>3281</v>
      </c>
      <c r="B681" s="16" t="s">
        <v>66</v>
      </c>
      <c r="C681" s="15">
        <v>9303623</v>
      </c>
      <c r="D681" s="16" t="s">
        <v>3282</v>
      </c>
      <c r="E681" s="15" t="s">
        <v>3283</v>
      </c>
      <c r="F681" s="21" t="str">
        <f>HYPERLINK("https://psearch.kitsapgov.com/webappa/index.html?parcelID=1929801&amp;Theme=Imagery","1929801")</f>
        <v>1929801</v>
      </c>
      <c r="G681" s="16" t="s">
        <v>3284</v>
      </c>
      <c r="H681" s="17">
        <v>43250</v>
      </c>
      <c r="I681" s="18">
        <v>600000</v>
      </c>
      <c r="J681" s="19">
        <v>0.1</v>
      </c>
      <c r="K681" s="16" t="s">
        <v>3285</v>
      </c>
      <c r="L681" s="16" t="s">
        <v>38</v>
      </c>
      <c r="M681" s="16" t="s">
        <v>3286</v>
      </c>
      <c r="N681" s="16" t="s">
        <v>3287</v>
      </c>
    </row>
    <row r="682" spans="1:14" ht="20.100000000000001" customHeight="1" x14ac:dyDescent="0.25">
      <c r="A682" s="15" t="s">
        <v>3288</v>
      </c>
      <c r="B682" s="16" t="s">
        <v>96</v>
      </c>
      <c r="C682" s="15">
        <v>8401101</v>
      </c>
      <c r="D682" s="16" t="s">
        <v>185</v>
      </c>
      <c r="E682" s="15" t="s">
        <v>3289</v>
      </c>
      <c r="F682" s="21" t="str">
        <f>HYPERLINK("https://psearch.kitsapgov.com/webappa/index.html?parcelID=1921154&amp;Theme=Imagery","1921154")</f>
        <v>1921154</v>
      </c>
      <c r="G682" s="16" t="s">
        <v>3290</v>
      </c>
      <c r="H682" s="17">
        <v>43249</v>
      </c>
      <c r="I682" s="18">
        <v>395000</v>
      </c>
      <c r="J682" s="19">
        <v>0.53</v>
      </c>
      <c r="K682" s="16" t="s">
        <v>188</v>
      </c>
      <c r="L682" s="16" t="s">
        <v>38</v>
      </c>
      <c r="M682" s="16" t="s">
        <v>3291</v>
      </c>
      <c r="N682" s="16" t="s">
        <v>3292</v>
      </c>
    </row>
    <row r="683" spans="1:14" ht="20.100000000000001" customHeight="1" x14ac:dyDescent="0.25">
      <c r="A683" s="15" t="s">
        <v>3293</v>
      </c>
      <c r="B683" s="16" t="s">
        <v>526</v>
      </c>
      <c r="C683" s="15">
        <v>9401591</v>
      </c>
      <c r="D683" s="16" t="s">
        <v>1960</v>
      </c>
      <c r="E683" s="15" t="s">
        <v>3294</v>
      </c>
      <c r="F683" s="21" t="str">
        <f>HYPERLINK("https://psearch.kitsapgov.com/webappa/index.html?parcelID=1256346&amp;Theme=Imagery","1256346")</f>
        <v>1256346</v>
      </c>
      <c r="G683" s="16" t="s">
        <v>3295</v>
      </c>
      <c r="H683" s="17">
        <v>43245</v>
      </c>
      <c r="I683" s="18">
        <v>165000</v>
      </c>
      <c r="J683" s="19">
        <v>0.34</v>
      </c>
      <c r="K683" s="16" t="s">
        <v>78</v>
      </c>
      <c r="L683" s="16" t="s">
        <v>20</v>
      </c>
      <c r="M683" s="16" t="s">
        <v>3296</v>
      </c>
      <c r="N683" s="16" t="s">
        <v>2883</v>
      </c>
    </row>
    <row r="684" spans="1:14" ht="20.100000000000001" customHeight="1" x14ac:dyDescent="0.25">
      <c r="A684" s="15" t="s">
        <v>3297</v>
      </c>
      <c r="B684" s="16" t="s">
        <v>1689</v>
      </c>
      <c r="C684" s="15">
        <v>8401101</v>
      </c>
      <c r="D684" s="16" t="s">
        <v>185</v>
      </c>
      <c r="E684" s="15" t="s">
        <v>3298</v>
      </c>
      <c r="F684" s="21" t="str">
        <f>HYPERLINK("https://psearch.kitsapgov.com/webappa/index.html?parcelID=1242296&amp;Theme=Imagery","1242296")</f>
        <v>1242296</v>
      </c>
      <c r="G684" s="16" t="s">
        <v>3299</v>
      </c>
      <c r="H684" s="17">
        <v>43242</v>
      </c>
      <c r="I684" s="18">
        <v>2700000</v>
      </c>
      <c r="J684" s="19">
        <v>0.69</v>
      </c>
      <c r="K684" s="16" t="s">
        <v>188</v>
      </c>
      <c r="L684" s="16" t="s">
        <v>38</v>
      </c>
      <c r="M684" s="16" t="s">
        <v>3300</v>
      </c>
      <c r="N684" s="16" t="s">
        <v>3301</v>
      </c>
    </row>
    <row r="685" spans="1:14" ht="20.100000000000001" customHeight="1" x14ac:dyDescent="0.25">
      <c r="A685" s="15" t="s">
        <v>3302</v>
      </c>
      <c r="B685" s="16" t="s">
        <v>214</v>
      </c>
      <c r="C685" s="15">
        <v>9100591</v>
      </c>
      <c r="D685" s="16" t="s">
        <v>848</v>
      </c>
      <c r="E685" s="15" t="s">
        <v>1827</v>
      </c>
      <c r="F685" s="21" t="str">
        <f>HYPERLINK("https://psearch.kitsapgov.com/webappa/index.html?parcelID=1729904&amp;Theme=Imagery","1729904")</f>
        <v>1729904</v>
      </c>
      <c r="G685" s="16" t="s">
        <v>1828</v>
      </c>
      <c r="H685" s="17">
        <v>43251</v>
      </c>
      <c r="I685" s="18">
        <v>315000</v>
      </c>
      <c r="J685" s="19">
        <v>7.25</v>
      </c>
      <c r="K685" s="16" t="s">
        <v>397</v>
      </c>
      <c r="L685" s="16" t="s">
        <v>20</v>
      </c>
      <c r="M685" s="16" t="s">
        <v>3303</v>
      </c>
      <c r="N685" s="16" t="s">
        <v>3304</v>
      </c>
    </row>
    <row r="686" spans="1:14" ht="20.100000000000001" customHeight="1" x14ac:dyDescent="0.25">
      <c r="A686" s="15" t="s">
        <v>3305</v>
      </c>
      <c r="B686" s="16" t="s">
        <v>57</v>
      </c>
      <c r="C686" s="15">
        <v>8401508</v>
      </c>
      <c r="D686" s="16" t="s">
        <v>90</v>
      </c>
      <c r="E686" s="15" t="s">
        <v>3306</v>
      </c>
      <c r="F686" s="21" t="str">
        <f>HYPERLINK("https://psearch.kitsapgov.com/webappa/index.html?parcelID=1276344&amp;Theme=Imagery","1276344")</f>
        <v>1276344</v>
      </c>
      <c r="G686" s="16" t="s">
        <v>3307</v>
      </c>
      <c r="H686" s="17">
        <v>43256</v>
      </c>
      <c r="I686" s="18">
        <v>99000</v>
      </c>
      <c r="J686" s="19">
        <v>1.5</v>
      </c>
      <c r="K686" s="16" t="s">
        <v>78</v>
      </c>
      <c r="L686" s="16" t="s">
        <v>856</v>
      </c>
      <c r="M686" s="16" t="s">
        <v>3308</v>
      </c>
      <c r="N686" s="16" t="s">
        <v>2981</v>
      </c>
    </row>
    <row r="687" spans="1:14" ht="20.100000000000001" customHeight="1" x14ac:dyDescent="0.25">
      <c r="A687" s="15" t="s">
        <v>3309</v>
      </c>
      <c r="B687" s="16" t="s">
        <v>89</v>
      </c>
      <c r="C687" s="15">
        <v>9100543</v>
      </c>
      <c r="D687" s="16" t="s">
        <v>807</v>
      </c>
      <c r="E687" s="15" t="s">
        <v>3310</v>
      </c>
      <c r="F687" s="21" t="str">
        <f>HYPERLINK("https://psearch.kitsapgov.com/webappa/index.html?parcelID=1475615&amp;Theme=Imagery","1475615")</f>
        <v>1475615</v>
      </c>
      <c r="G687" s="16" t="s">
        <v>3311</v>
      </c>
      <c r="H687" s="17">
        <v>43249</v>
      </c>
      <c r="I687" s="18">
        <v>35000</v>
      </c>
      <c r="J687" s="19">
        <v>0.15</v>
      </c>
      <c r="K687" s="16" t="s">
        <v>839</v>
      </c>
      <c r="L687" s="16" t="s">
        <v>246</v>
      </c>
      <c r="M687" s="16" t="s">
        <v>3312</v>
      </c>
      <c r="N687" s="16" t="s">
        <v>3313</v>
      </c>
    </row>
    <row r="688" spans="1:14" ht="20.100000000000001" customHeight="1" x14ac:dyDescent="0.25">
      <c r="A688" s="15" t="s">
        <v>3314</v>
      </c>
      <c r="B688" s="16" t="s">
        <v>57</v>
      </c>
      <c r="C688" s="15">
        <v>9100543</v>
      </c>
      <c r="D688" s="16" t="s">
        <v>807</v>
      </c>
      <c r="E688" s="15" t="s">
        <v>3315</v>
      </c>
      <c r="F688" s="21" t="str">
        <f>HYPERLINK("https://psearch.kitsapgov.com/webappa/index.html?parcelID=1472471&amp;Theme=Imagery","1472471")</f>
        <v>1472471</v>
      </c>
      <c r="G688" s="16" t="s">
        <v>107</v>
      </c>
      <c r="H688" s="17">
        <v>43263</v>
      </c>
      <c r="I688" s="18">
        <v>350000</v>
      </c>
      <c r="J688" s="19">
        <v>0.28000000000000003</v>
      </c>
      <c r="K688" s="16" t="s">
        <v>1070</v>
      </c>
      <c r="L688" s="16" t="s">
        <v>20</v>
      </c>
      <c r="M688" s="16" t="s">
        <v>3316</v>
      </c>
      <c r="N688" s="16" t="s">
        <v>3317</v>
      </c>
    </row>
    <row r="689" spans="1:14" ht="20.100000000000001" customHeight="1" x14ac:dyDescent="0.25">
      <c r="A689" s="15" t="s">
        <v>3318</v>
      </c>
      <c r="B689" s="16" t="s">
        <v>1037</v>
      </c>
      <c r="C689" s="15">
        <v>8100505</v>
      </c>
      <c r="D689" s="16" t="s">
        <v>17</v>
      </c>
      <c r="E689" s="15" t="s">
        <v>3319</v>
      </c>
      <c r="F689" s="21" t="str">
        <f>HYPERLINK("https://psearch.kitsapgov.com/webappa/index.html?parcelID=1496678&amp;Theme=Imagery","1496678")</f>
        <v>1496678</v>
      </c>
      <c r="G689" s="16" t="s">
        <v>3320</v>
      </c>
      <c r="H689" s="17">
        <v>43256</v>
      </c>
      <c r="I689" s="18">
        <v>850000</v>
      </c>
      <c r="J689" s="19">
        <v>1.36</v>
      </c>
      <c r="K689" s="16" t="s">
        <v>457</v>
      </c>
      <c r="L689" s="16" t="s">
        <v>38</v>
      </c>
      <c r="M689" s="16" t="s">
        <v>3321</v>
      </c>
      <c r="N689" s="16" t="s">
        <v>2163</v>
      </c>
    </row>
    <row r="690" spans="1:14" ht="20.100000000000001" customHeight="1" x14ac:dyDescent="0.25">
      <c r="A690" s="15" t="s">
        <v>3322</v>
      </c>
      <c r="B690" s="16" t="s">
        <v>688</v>
      </c>
      <c r="C690" s="15">
        <v>8401104</v>
      </c>
      <c r="D690" s="16" t="s">
        <v>144</v>
      </c>
      <c r="E690" s="15" t="s">
        <v>3323</v>
      </c>
      <c r="F690" s="21" t="str">
        <f>HYPERLINK("https://psearch.kitsapgov.com/webappa/index.html?parcelID=2278562&amp;Theme=Imagery","2278562")</f>
        <v>2278562</v>
      </c>
      <c r="G690" s="16" t="s">
        <v>3324</v>
      </c>
      <c r="H690" s="17">
        <v>43005</v>
      </c>
      <c r="I690" s="18">
        <v>185000</v>
      </c>
      <c r="J690" s="19">
        <v>2.44</v>
      </c>
      <c r="K690" s="16" t="s">
        <v>194</v>
      </c>
      <c r="L690" s="16" t="s">
        <v>542</v>
      </c>
      <c r="M690" s="16" t="s">
        <v>3325</v>
      </c>
      <c r="N690" s="16" t="s">
        <v>1252</v>
      </c>
    </row>
    <row r="691" spans="1:14" ht="20.100000000000001" customHeight="1" x14ac:dyDescent="0.25">
      <c r="A691" s="15" t="s">
        <v>3326</v>
      </c>
      <c r="B691" s="16" t="s">
        <v>688</v>
      </c>
      <c r="C691" s="15">
        <v>8401101</v>
      </c>
      <c r="D691" s="16" t="s">
        <v>185</v>
      </c>
      <c r="E691" s="15" t="s">
        <v>689</v>
      </c>
      <c r="F691" s="21" t="str">
        <f>HYPERLINK("https://psearch.kitsapgov.com/webappa/index.html?parcelID=1238401&amp;Theme=Imagery","1238401")</f>
        <v>1238401</v>
      </c>
      <c r="G691" s="16" t="s">
        <v>690</v>
      </c>
      <c r="H691" s="17">
        <v>43273</v>
      </c>
      <c r="I691" s="18">
        <v>1017000</v>
      </c>
      <c r="J691" s="19">
        <v>0.71</v>
      </c>
      <c r="K691" s="16" t="s">
        <v>188</v>
      </c>
      <c r="L691" s="16" t="s">
        <v>38</v>
      </c>
      <c r="M691" s="16" t="s">
        <v>692</v>
      </c>
      <c r="N691" s="16" t="s">
        <v>3327</v>
      </c>
    </row>
    <row r="692" spans="1:14" ht="20.100000000000001" customHeight="1" x14ac:dyDescent="0.25">
      <c r="A692" s="15" t="s">
        <v>3328</v>
      </c>
      <c r="B692" s="16" t="s">
        <v>49</v>
      </c>
      <c r="C692" s="15">
        <v>9100541</v>
      </c>
      <c r="D692" s="16" t="s">
        <v>215</v>
      </c>
      <c r="E692" s="15" t="s">
        <v>3329</v>
      </c>
      <c r="F692" s="21" t="str">
        <f>HYPERLINK("https://psearch.kitsapgov.com/webappa/index.html?parcelID=1152602&amp;Theme=Imagery","1152602")</f>
        <v>1152602</v>
      </c>
      <c r="G692" s="16" t="s">
        <v>3330</v>
      </c>
      <c r="H692" s="17">
        <v>43272</v>
      </c>
      <c r="I692" s="18">
        <v>305000</v>
      </c>
      <c r="J692" s="19">
        <v>0.2</v>
      </c>
      <c r="K692" s="16" t="s">
        <v>85</v>
      </c>
      <c r="L692" s="16" t="s">
        <v>38</v>
      </c>
      <c r="M692" s="16" t="s">
        <v>3331</v>
      </c>
      <c r="N692" s="16" t="s">
        <v>3332</v>
      </c>
    </row>
    <row r="693" spans="1:14" ht="20.100000000000001" customHeight="1" x14ac:dyDescent="0.25">
      <c r="A693" s="15" t="s">
        <v>3333</v>
      </c>
      <c r="B693" s="16" t="s">
        <v>49</v>
      </c>
      <c r="C693" s="15">
        <v>8401101</v>
      </c>
      <c r="D693" s="16" t="s">
        <v>185</v>
      </c>
      <c r="E693" s="15" t="s">
        <v>3081</v>
      </c>
      <c r="F693" s="21" t="str">
        <f>HYPERLINK("https://psearch.kitsapgov.com/webappa/index.html?parcelID=2553303&amp;Theme=Imagery","2553303")</f>
        <v>2553303</v>
      </c>
      <c r="G693" s="16" t="s">
        <v>2483</v>
      </c>
      <c r="H693" s="17">
        <v>43272</v>
      </c>
      <c r="I693" s="18">
        <v>325000</v>
      </c>
      <c r="J693" s="19">
        <v>0.2</v>
      </c>
      <c r="K693" s="16" t="s">
        <v>188</v>
      </c>
      <c r="L693" s="16" t="s">
        <v>38</v>
      </c>
      <c r="M693" s="16" t="s">
        <v>3334</v>
      </c>
      <c r="N693" s="16" t="s">
        <v>3335</v>
      </c>
    </row>
    <row r="694" spans="1:14" ht="20.100000000000001" customHeight="1" x14ac:dyDescent="0.25">
      <c r="A694" s="15" t="s">
        <v>3336</v>
      </c>
      <c r="B694" s="16" t="s">
        <v>286</v>
      </c>
      <c r="C694" s="15">
        <v>8400206</v>
      </c>
      <c r="D694" s="16" t="s">
        <v>287</v>
      </c>
      <c r="E694" s="15" t="s">
        <v>3337</v>
      </c>
      <c r="F694" s="21" t="str">
        <f>HYPERLINK("https://psearch.kitsapgov.com/webappa/index.html?parcelID=2142735&amp;Theme=Imagery","2142735")</f>
        <v>2142735</v>
      </c>
      <c r="G694" s="16" t="s">
        <v>289</v>
      </c>
      <c r="H694" s="17">
        <v>43272</v>
      </c>
      <c r="I694" s="18">
        <v>36000</v>
      </c>
      <c r="J694" s="19">
        <v>0</v>
      </c>
      <c r="L694" s="16" t="s">
        <v>290</v>
      </c>
      <c r="M694" s="16" t="s">
        <v>3338</v>
      </c>
      <c r="N694" s="16" t="s">
        <v>3339</v>
      </c>
    </row>
    <row r="695" spans="1:14" ht="20.100000000000001" customHeight="1" x14ac:dyDescent="0.25">
      <c r="A695" s="15" t="s">
        <v>3340</v>
      </c>
      <c r="B695" s="16" t="s">
        <v>89</v>
      </c>
      <c r="C695" s="15">
        <v>8100506</v>
      </c>
      <c r="D695" s="16" t="s">
        <v>25</v>
      </c>
      <c r="E695" s="15" t="s">
        <v>3341</v>
      </c>
      <c r="F695" s="21" t="str">
        <f>HYPERLINK("https://psearch.kitsapgov.com/webappa/index.html?parcelID=1473875&amp;Theme=Imagery","1473875")</f>
        <v>1473875</v>
      </c>
      <c r="G695" s="16" t="s">
        <v>3342</v>
      </c>
      <c r="H695" s="17">
        <v>43251</v>
      </c>
      <c r="I695" s="18">
        <v>500000</v>
      </c>
      <c r="J695" s="19">
        <v>0.19</v>
      </c>
      <c r="K695" s="16" t="s">
        <v>839</v>
      </c>
      <c r="L695" s="16" t="s">
        <v>20</v>
      </c>
      <c r="M695" s="16" t="s">
        <v>3343</v>
      </c>
      <c r="N695" s="16" t="s">
        <v>3344</v>
      </c>
    </row>
    <row r="696" spans="1:14" ht="20.100000000000001" customHeight="1" x14ac:dyDescent="0.25">
      <c r="A696" s="15" t="s">
        <v>3345</v>
      </c>
      <c r="B696" s="16" t="s">
        <v>602</v>
      </c>
      <c r="C696" s="15">
        <v>8400302</v>
      </c>
      <c r="D696" s="16" t="s">
        <v>133</v>
      </c>
      <c r="E696" s="15" t="s">
        <v>3346</v>
      </c>
      <c r="F696" s="21" t="str">
        <f>HYPERLINK("https://psearch.kitsapgov.com/webappa/index.html?parcelID=2461705&amp;Theme=Imagery","2461705")</f>
        <v>2461705</v>
      </c>
      <c r="G696" s="16" t="s">
        <v>3347</v>
      </c>
      <c r="H696" s="17">
        <v>43258</v>
      </c>
      <c r="I696" s="18">
        <v>400000</v>
      </c>
      <c r="J696" s="19">
        <v>0.1</v>
      </c>
      <c r="K696" s="16" t="s">
        <v>309</v>
      </c>
      <c r="L696" s="16" t="s">
        <v>20</v>
      </c>
      <c r="M696" s="16" t="s">
        <v>909</v>
      </c>
      <c r="N696" s="16" t="s">
        <v>1137</v>
      </c>
    </row>
    <row r="697" spans="1:14" ht="20.100000000000001" customHeight="1" x14ac:dyDescent="0.25">
      <c r="A697" s="15" t="s">
        <v>3348</v>
      </c>
      <c r="B697" s="16" t="s">
        <v>306</v>
      </c>
      <c r="C697" s="15">
        <v>8400302</v>
      </c>
      <c r="D697" s="16" t="s">
        <v>133</v>
      </c>
      <c r="E697" s="15" t="s">
        <v>3349</v>
      </c>
      <c r="F697" s="21" t="str">
        <f>HYPERLINK("https://psearch.kitsapgov.com/webappa/index.html?parcelID=2558708&amp;Theme=Imagery","2558708")</f>
        <v>2558708</v>
      </c>
      <c r="G697" s="16" t="s">
        <v>3350</v>
      </c>
      <c r="H697" s="17">
        <v>43270</v>
      </c>
      <c r="I697" s="18">
        <v>2100000</v>
      </c>
      <c r="J697" s="19">
        <v>4.1100000000000003</v>
      </c>
      <c r="K697" s="16" t="s">
        <v>136</v>
      </c>
      <c r="L697" s="16" t="s">
        <v>38</v>
      </c>
      <c r="M697" s="16" t="s">
        <v>200</v>
      </c>
      <c r="N697" s="16" t="s">
        <v>3351</v>
      </c>
    </row>
    <row r="698" spans="1:14" ht="20.100000000000001" customHeight="1" x14ac:dyDescent="0.25">
      <c r="A698" s="15" t="s">
        <v>3352</v>
      </c>
      <c r="B698" s="16" t="s">
        <v>57</v>
      </c>
      <c r="C698" s="15">
        <v>8401104</v>
      </c>
      <c r="D698" s="16" t="s">
        <v>144</v>
      </c>
      <c r="E698" s="15" t="s">
        <v>3353</v>
      </c>
      <c r="F698" s="21" t="str">
        <f>HYPERLINK("https://psearch.kitsapgov.com/webappa/index.html?parcelID=1115823&amp;Theme=Imagery","1115823")</f>
        <v>1115823</v>
      </c>
      <c r="G698" s="16" t="s">
        <v>3354</v>
      </c>
      <c r="H698" s="17">
        <v>43277</v>
      </c>
      <c r="I698" s="18">
        <v>175000</v>
      </c>
      <c r="J698" s="19">
        <v>1.78</v>
      </c>
      <c r="K698" s="16" t="s">
        <v>194</v>
      </c>
      <c r="L698" s="16" t="s">
        <v>38</v>
      </c>
      <c r="M698" s="16" t="s">
        <v>3355</v>
      </c>
      <c r="N698" s="16" t="s">
        <v>3356</v>
      </c>
    </row>
    <row r="699" spans="1:14" ht="20.100000000000001" customHeight="1" x14ac:dyDescent="0.25">
      <c r="A699" s="15" t="s">
        <v>3357</v>
      </c>
      <c r="B699" s="16" t="s">
        <v>393</v>
      </c>
      <c r="C699" s="15">
        <v>9100543</v>
      </c>
      <c r="D699" s="16" t="s">
        <v>807</v>
      </c>
      <c r="E699" s="15" t="s">
        <v>3358</v>
      </c>
      <c r="F699" s="21" t="str">
        <f>HYPERLINK("https://psearch.kitsapgov.com/webappa/index.html?parcelID=1136910&amp;Theme=Imagery","1136910")</f>
        <v>1136910</v>
      </c>
      <c r="G699" s="16" t="s">
        <v>3359</v>
      </c>
      <c r="H699" s="17">
        <v>43272</v>
      </c>
      <c r="I699" s="18">
        <v>9053000</v>
      </c>
      <c r="J699" s="19">
        <v>4.1500000000000004</v>
      </c>
      <c r="K699" s="16" t="s">
        <v>235</v>
      </c>
      <c r="L699" s="16" t="s">
        <v>38</v>
      </c>
      <c r="M699" s="16" t="s">
        <v>3360</v>
      </c>
      <c r="N699" s="16" t="s">
        <v>3361</v>
      </c>
    </row>
    <row r="700" spans="1:14" ht="20.100000000000001" customHeight="1" x14ac:dyDescent="0.25">
      <c r="A700" s="15" t="s">
        <v>3362</v>
      </c>
      <c r="B700" s="16" t="s">
        <v>96</v>
      </c>
      <c r="C700" s="15">
        <v>9100541</v>
      </c>
      <c r="D700" s="16" t="s">
        <v>215</v>
      </c>
      <c r="E700" s="15" t="s">
        <v>3363</v>
      </c>
      <c r="F700" s="21" t="str">
        <f>HYPERLINK("https://psearch.kitsapgov.com/webappa/index.html?parcelID=1151893&amp;Theme=Imagery","1151893")</f>
        <v>1151893</v>
      </c>
      <c r="G700" s="16" t="s">
        <v>3364</v>
      </c>
      <c r="H700" s="17">
        <v>43279</v>
      </c>
      <c r="I700" s="18">
        <v>657540</v>
      </c>
      <c r="J700" s="19">
        <v>0.91</v>
      </c>
      <c r="K700" s="16" t="s">
        <v>235</v>
      </c>
      <c r="L700" s="16" t="s">
        <v>20</v>
      </c>
      <c r="M700" s="16" t="s">
        <v>3365</v>
      </c>
      <c r="N700" s="16" t="s">
        <v>3366</v>
      </c>
    </row>
    <row r="701" spans="1:14" ht="20.100000000000001" customHeight="1" x14ac:dyDescent="0.25">
      <c r="A701" s="15" t="s">
        <v>3367</v>
      </c>
      <c r="B701" s="16" t="s">
        <v>688</v>
      </c>
      <c r="C701" s="15">
        <v>8400203</v>
      </c>
      <c r="D701" s="16" t="s">
        <v>97</v>
      </c>
      <c r="E701" s="15" t="s">
        <v>3368</v>
      </c>
      <c r="F701" s="21" t="str">
        <f>HYPERLINK("https://psearch.kitsapgov.com/webappa/index.html?parcelID=1336478&amp;Theme=Imagery","1336478")</f>
        <v>1336478</v>
      </c>
      <c r="G701" s="16" t="s">
        <v>3369</v>
      </c>
      <c r="H701" s="17">
        <v>43280</v>
      </c>
      <c r="I701" s="18">
        <v>2425000</v>
      </c>
      <c r="J701" s="19">
        <v>0.28999999999999998</v>
      </c>
      <c r="K701" s="16" t="s">
        <v>100</v>
      </c>
      <c r="L701" s="16" t="s">
        <v>38</v>
      </c>
      <c r="M701" s="16" t="s">
        <v>3370</v>
      </c>
      <c r="N701" s="16" t="s">
        <v>3371</v>
      </c>
    </row>
    <row r="702" spans="1:14" ht="20.100000000000001" customHeight="1" x14ac:dyDescent="0.25">
      <c r="A702" s="15" t="s">
        <v>3372</v>
      </c>
      <c r="B702" s="16" t="s">
        <v>96</v>
      </c>
      <c r="C702" s="15">
        <v>8100502</v>
      </c>
      <c r="D702" s="16" t="s">
        <v>67</v>
      </c>
      <c r="E702" s="15" t="s">
        <v>3373</v>
      </c>
      <c r="F702" s="21" t="str">
        <f>HYPERLINK("https://psearch.kitsapgov.com/webappa/index.html?parcelID=2504561&amp;Theme=Imagery","2504561")</f>
        <v>2504561</v>
      </c>
      <c r="G702" s="16" t="s">
        <v>3374</v>
      </c>
      <c r="H702" s="17">
        <v>43290</v>
      </c>
      <c r="I702" s="18">
        <v>2774892</v>
      </c>
      <c r="J702" s="19">
        <v>0.97</v>
      </c>
      <c r="K702" s="16" t="s">
        <v>85</v>
      </c>
      <c r="L702" s="16" t="s">
        <v>38</v>
      </c>
      <c r="M702" s="16" t="s">
        <v>3375</v>
      </c>
      <c r="N702" s="16" t="s">
        <v>3376</v>
      </c>
    </row>
    <row r="703" spans="1:14" ht="20.100000000000001" customHeight="1" x14ac:dyDescent="0.25">
      <c r="A703" s="15" t="s">
        <v>3377</v>
      </c>
      <c r="B703" s="16" t="s">
        <v>347</v>
      </c>
      <c r="C703" s="15">
        <v>8100510</v>
      </c>
      <c r="D703" s="16" t="s">
        <v>401</v>
      </c>
      <c r="E703" s="15" t="s">
        <v>3378</v>
      </c>
      <c r="F703" s="21" t="str">
        <f>HYPERLINK("https://psearch.kitsapgov.com/webappa/index.html?parcelID=1467414&amp;Theme=Imagery","1467414")</f>
        <v>1467414</v>
      </c>
      <c r="G703" s="16" t="s">
        <v>3379</v>
      </c>
      <c r="H703" s="17">
        <v>43290</v>
      </c>
      <c r="I703" s="18">
        <v>150000</v>
      </c>
      <c r="J703" s="19">
        <v>0.27</v>
      </c>
      <c r="K703" s="16" t="s">
        <v>28</v>
      </c>
      <c r="L703" s="16" t="s">
        <v>129</v>
      </c>
      <c r="M703" s="16" t="s">
        <v>744</v>
      </c>
      <c r="N703" s="16" t="s">
        <v>1862</v>
      </c>
    </row>
    <row r="704" spans="1:14" ht="20.100000000000001" customHeight="1" x14ac:dyDescent="0.25">
      <c r="A704" s="15" t="s">
        <v>3380</v>
      </c>
      <c r="B704" s="16" t="s">
        <v>96</v>
      </c>
      <c r="C704" s="15">
        <v>9402395</v>
      </c>
      <c r="D704" s="16" t="s">
        <v>580</v>
      </c>
      <c r="E704" s="15" t="s">
        <v>3381</v>
      </c>
      <c r="F704" s="21" t="str">
        <f>HYPERLINK("https://psearch.kitsapgov.com/webappa/index.html?parcelID=1738020&amp;Theme=Imagery","1738020")</f>
        <v>1738020</v>
      </c>
      <c r="G704" s="16" t="s">
        <v>3382</v>
      </c>
      <c r="H704" s="17">
        <v>43290</v>
      </c>
      <c r="I704" s="18">
        <v>325000</v>
      </c>
      <c r="J704" s="19">
        <v>7.0000000000000007E-2</v>
      </c>
      <c r="K704" s="16" t="s">
        <v>583</v>
      </c>
      <c r="L704" s="16" t="s">
        <v>38</v>
      </c>
      <c r="M704" s="16" t="s">
        <v>3383</v>
      </c>
      <c r="N704" s="16" t="s">
        <v>3384</v>
      </c>
    </row>
    <row r="705" spans="1:14" ht="20.100000000000001" customHeight="1" x14ac:dyDescent="0.25">
      <c r="A705" s="15" t="s">
        <v>3385</v>
      </c>
      <c r="B705" s="16" t="s">
        <v>96</v>
      </c>
      <c r="C705" s="15">
        <v>8100505</v>
      </c>
      <c r="D705" s="16" t="s">
        <v>17</v>
      </c>
      <c r="E705" s="15" t="s">
        <v>3386</v>
      </c>
      <c r="F705" s="21" t="str">
        <f>HYPERLINK("https://psearch.kitsapgov.com/webappa/index.html?parcelID=1496892&amp;Theme=Imagery","1496892")</f>
        <v>1496892</v>
      </c>
      <c r="G705" s="16" t="s">
        <v>3387</v>
      </c>
      <c r="H705" s="17">
        <v>43297</v>
      </c>
      <c r="I705" s="18">
        <v>350000</v>
      </c>
      <c r="J705" s="19">
        <v>0.24</v>
      </c>
      <c r="K705" s="16" t="s">
        <v>457</v>
      </c>
      <c r="L705" s="16" t="s">
        <v>38</v>
      </c>
      <c r="M705" s="16" t="s">
        <v>3388</v>
      </c>
      <c r="N705" s="16" t="s">
        <v>2163</v>
      </c>
    </row>
    <row r="706" spans="1:14" ht="20.100000000000001" customHeight="1" x14ac:dyDescent="0.25">
      <c r="A706" s="15" t="s">
        <v>3389</v>
      </c>
      <c r="B706" s="16" t="s">
        <v>330</v>
      </c>
      <c r="C706" s="15">
        <v>8100505</v>
      </c>
      <c r="D706" s="16" t="s">
        <v>17</v>
      </c>
      <c r="E706" s="15" t="s">
        <v>3390</v>
      </c>
      <c r="F706" s="21" t="str">
        <f>HYPERLINK("https://psearch.kitsapgov.com/webappa/index.html?parcelID=1490713&amp;Theme=Imagery","1490713")</f>
        <v>1490713</v>
      </c>
      <c r="G706" s="16" t="s">
        <v>3391</v>
      </c>
      <c r="H706" s="17">
        <v>43297</v>
      </c>
      <c r="I706" s="18">
        <v>350000</v>
      </c>
      <c r="J706" s="19">
        <v>0.71</v>
      </c>
      <c r="K706" s="16" t="s">
        <v>457</v>
      </c>
      <c r="L706" s="16" t="s">
        <v>38</v>
      </c>
      <c r="M706" s="16" t="s">
        <v>3321</v>
      </c>
      <c r="N706" s="16" t="s">
        <v>2163</v>
      </c>
    </row>
    <row r="707" spans="1:14" ht="20.100000000000001" customHeight="1" x14ac:dyDescent="0.25">
      <c r="A707" s="15" t="s">
        <v>3392</v>
      </c>
      <c r="B707" s="16" t="s">
        <v>89</v>
      </c>
      <c r="C707" s="15">
        <v>8401101</v>
      </c>
      <c r="D707" s="16" t="s">
        <v>185</v>
      </c>
      <c r="E707" s="15" t="s">
        <v>3393</v>
      </c>
      <c r="F707" s="21" t="str">
        <f>HYPERLINK("https://psearch.kitsapgov.com/webappa/index.html?parcelID=1238633&amp;Theme=Imagery","1238633")</f>
        <v>1238633</v>
      </c>
      <c r="G707" s="16" t="s">
        <v>3394</v>
      </c>
      <c r="H707" s="17">
        <v>43283</v>
      </c>
      <c r="I707" s="18">
        <v>132500</v>
      </c>
      <c r="J707" s="19">
        <v>1.37</v>
      </c>
      <c r="K707" s="16" t="s">
        <v>188</v>
      </c>
      <c r="L707" s="16" t="s">
        <v>1169</v>
      </c>
      <c r="M707" s="16" t="s">
        <v>3395</v>
      </c>
      <c r="N707" s="16" t="s">
        <v>710</v>
      </c>
    </row>
    <row r="708" spans="1:14" ht="20.100000000000001" customHeight="1" x14ac:dyDescent="0.25">
      <c r="A708" s="15" t="s">
        <v>3396</v>
      </c>
      <c r="B708" s="16" t="s">
        <v>96</v>
      </c>
      <c r="C708" s="15">
        <v>8401102</v>
      </c>
      <c r="D708" s="16" t="s">
        <v>766</v>
      </c>
      <c r="E708" s="15" t="s">
        <v>3397</v>
      </c>
      <c r="F708" s="21" t="str">
        <f>HYPERLINK("https://psearch.kitsapgov.com/webappa/index.html?parcelID=1658665&amp;Theme=Imagery","1658665")</f>
        <v>1658665</v>
      </c>
      <c r="G708" s="16" t="s">
        <v>3398</v>
      </c>
      <c r="H708" s="17">
        <v>43284</v>
      </c>
      <c r="I708" s="18">
        <v>299000</v>
      </c>
      <c r="J708" s="19">
        <v>0.2</v>
      </c>
      <c r="K708" s="16" t="s">
        <v>309</v>
      </c>
      <c r="L708" s="16" t="s">
        <v>38</v>
      </c>
      <c r="M708" s="16" t="s">
        <v>3399</v>
      </c>
      <c r="N708" s="16" t="s">
        <v>3400</v>
      </c>
    </row>
    <row r="709" spans="1:14" ht="20.100000000000001" customHeight="1" x14ac:dyDescent="0.25">
      <c r="A709" s="15" t="s">
        <v>3401</v>
      </c>
      <c r="B709" s="16" t="s">
        <v>393</v>
      </c>
      <c r="C709" s="15">
        <v>8100506</v>
      </c>
      <c r="D709" s="16" t="s">
        <v>25</v>
      </c>
      <c r="E709" s="15" t="s">
        <v>3402</v>
      </c>
      <c r="F709" s="21" t="str">
        <f>HYPERLINK("https://psearch.kitsapgov.com/webappa/index.html?parcelID=2606838&amp;Theme=Imagery","2606838")</f>
        <v>2606838</v>
      </c>
      <c r="G709" s="16" t="s">
        <v>3403</v>
      </c>
      <c r="H709" s="17">
        <v>43312</v>
      </c>
      <c r="I709" s="18">
        <v>29500000</v>
      </c>
      <c r="J709" s="19">
        <v>6.85</v>
      </c>
      <c r="K709" s="16" t="s">
        <v>85</v>
      </c>
      <c r="L709" s="16" t="s">
        <v>20</v>
      </c>
      <c r="M709" s="16" t="s">
        <v>3404</v>
      </c>
      <c r="N709" s="16" t="s">
        <v>3405</v>
      </c>
    </row>
    <row r="710" spans="1:14" ht="20.100000000000001" customHeight="1" x14ac:dyDescent="0.25">
      <c r="A710" s="15" t="s">
        <v>3406</v>
      </c>
      <c r="B710" s="16" t="s">
        <v>33</v>
      </c>
      <c r="C710" s="15">
        <v>8402306</v>
      </c>
      <c r="D710" s="16" t="s">
        <v>34</v>
      </c>
      <c r="E710" s="15" t="s">
        <v>3407</v>
      </c>
      <c r="F710" s="21" t="str">
        <f>HYPERLINK("https://psearch.kitsapgov.com/webappa/index.html?parcelID=2416014&amp;Theme=Imagery","2416014")</f>
        <v>2416014</v>
      </c>
      <c r="G710" s="16" t="s">
        <v>3408</v>
      </c>
      <c r="H710" s="17">
        <v>43307</v>
      </c>
      <c r="I710" s="18">
        <v>625000</v>
      </c>
      <c r="J710" s="19">
        <v>0.2</v>
      </c>
      <c r="K710" s="16" t="s">
        <v>371</v>
      </c>
      <c r="L710" s="16" t="s">
        <v>38</v>
      </c>
      <c r="M710" s="16" t="s">
        <v>3409</v>
      </c>
      <c r="N710" s="16" t="s">
        <v>3410</v>
      </c>
    </row>
    <row r="711" spans="1:14" ht="20.100000000000001" customHeight="1" x14ac:dyDescent="0.25">
      <c r="A711" s="15" t="s">
        <v>3411</v>
      </c>
      <c r="B711" s="16" t="s">
        <v>57</v>
      </c>
      <c r="C711" s="15">
        <v>8401509</v>
      </c>
      <c r="D711" s="16" t="s">
        <v>1166</v>
      </c>
      <c r="E711" s="15" t="s">
        <v>3412</v>
      </c>
      <c r="F711" s="21" t="str">
        <f>HYPERLINK("https://psearch.kitsapgov.com/webappa/index.html?parcelID=1663566&amp;Theme=Imagery","1663566")</f>
        <v>1663566</v>
      </c>
      <c r="G711" s="16" t="s">
        <v>3413</v>
      </c>
      <c r="H711" s="17">
        <v>43306</v>
      </c>
      <c r="I711" s="18">
        <v>45000</v>
      </c>
      <c r="J711" s="19">
        <v>0.09</v>
      </c>
      <c r="K711" s="16" t="s">
        <v>309</v>
      </c>
      <c r="L711" s="16" t="s">
        <v>20</v>
      </c>
      <c r="M711" s="16" t="s">
        <v>3414</v>
      </c>
      <c r="N711" s="16" t="s">
        <v>3415</v>
      </c>
    </row>
    <row r="712" spans="1:14" ht="20.100000000000001" customHeight="1" x14ac:dyDescent="0.25">
      <c r="A712" s="15" t="s">
        <v>3416</v>
      </c>
      <c r="B712" s="16" t="s">
        <v>286</v>
      </c>
      <c r="C712" s="15">
        <v>8400206</v>
      </c>
      <c r="D712" s="16" t="s">
        <v>287</v>
      </c>
      <c r="E712" s="15" t="s">
        <v>3417</v>
      </c>
      <c r="F712" s="21" t="str">
        <f>HYPERLINK("https://psearch.kitsapgov.com/webappa/index.html?parcelID=2071066&amp;Theme=Imagery","2071066")</f>
        <v>2071066</v>
      </c>
      <c r="G712" s="16" t="s">
        <v>450</v>
      </c>
      <c r="H712" s="17">
        <v>43308</v>
      </c>
      <c r="I712" s="18">
        <v>36000</v>
      </c>
      <c r="J712" s="19">
        <v>0</v>
      </c>
      <c r="L712" s="16" t="s">
        <v>38</v>
      </c>
      <c r="M712" s="16" t="s">
        <v>3418</v>
      </c>
      <c r="N712" s="16" t="s">
        <v>3419</v>
      </c>
    </row>
    <row r="713" spans="1:14" ht="20.100000000000001" customHeight="1" x14ac:dyDescent="0.25">
      <c r="A713" s="15" t="s">
        <v>3420</v>
      </c>
      <c r="B713" s="16" t="s">
        <v>239</v>
      </c>
      <c r="C713" s="15">
        <v>8400301</v>
      </c>
      <c r="D713" s="16" t="s">
        <v>1139</v>
      </c>
      <c r="E713" s="15" t="s">
        <v>3421</v>
      </c>
      <c r="F713" s="21" t="str">
        <f>HYPERLINK("https://psearch.kitsapgov.com/webappa/index.html?parcelID=1582162&amp;Theme=Imagery","1582162")</f>
        <v>1582162</v>
      </c>
      <c r="G713" s="16" t="s">
        <v>3422</v>
      </c>
      <c r="H713" s="17">
        <v>43312</v>
      </c>
      <c r="I713" s="18">
        <v>722888</v>
      </c>
      <c r="J713" s="19">
        <v>0.11</v>
      </c>
      <c r="K713" s="16" t="s">
        <v>1142</v>
      </c>
      <c r="L713" s="16" t="s">
        <v>38</v>
      </c>
      <c r="M713" s="16" t="s">
        <v>3423</v>
      </c>
      <c r="N713" s="16" t="s">
        <v>3424</v>
      </c>
    </row>
    <row r="714" spans="1:14" ht="20.100000000000001" customHeight="1" x14ac:dyDescent="0.25">
      <c r="A714" s="15" t="s">
        <v>3425</v>
      </c>
      <c r="B714" s="16" t="s">
        <v>89</v>
      </c>
      <c r="C714" s="15">
        <v>8401101</v>
      </c>
      <c r="D714" s="16" t="s">
        <v>185</v>
      </c>
      <c r="E714" s="15" t="s">
        <v>3426</v>
      </c>
      <c r="F714" s="21" t="str">
        <f>HYPERLINK("https://psearch.kitsapgov.com/webappa/index.html?parcelID=2100352&amp;Theme=Imagery","2100352")</f>
        <v>2100352</v>
      </c>
      <c r="G714" s="16" t="s">
        <v>3427</v>
      </c>
      <c r="H714" s="17">
        <v>43313</v>
      </c>
      <c r="I714" s="18">
        <v>2400000</v>
      </c>
      <c r="J714" s="19">
        <v>0.89</v>
      </c>
      <c r="K714" s="16" t="s">
        <v>188</v>
      </c>
      <c r="L714" s="16" t="s">
        <v>38</v>
      </c>
      <c r="M714" s="16" t="s">
        <v>3428</v>
      </c>
      <c r="N714" s="16" t="s">
        <v>3429</v>
      </c>
    </row>
    <row r="715" spans="1:14" ht="20.100000000000001" customHeight="1" x14ac:dyDescent="0.25">
      <c r="A715" s="15" t="s">
        <v>3430</v>
      </c>
      <c r="B715" s="16" t="s">
        <v>74</v>
      </c>
      <c r="C715" s="15">
        <v>8400202</v>
      </c>
      <c r="D715" s="16" t="s">
        <v>158</v>
      </c>
      <c r="E715" s="15" t="s">
        <v>3431</v>
      </c>
      <c r="F715" s="21" t="str">
        <f>HYPERLINK("https://psearch.kitsapgov.com/webappa/index.html?parcelID=2471639&amp;Theme=Imagery","2471639")</f>
        <v>2471639</v>
      </c>
      <c r="G715" s="16" t="s">
        <v>3432</v>
      </c>
      <c r="H715" s="17">
        <v>43287</v>
      </c>
      <c r="I715" s="18">
        <v>155200</v>
      </c>
      <c r="J715" s="19">
        <v>8.77</v>
      </c>
      <c r="K715" s="16" t="s">
        <v>100</v>
      </c>
      <c r="L715" s="16" t="s">
        <v>246</v>
      </c>
      <c r="M715" s="16" t="s">
        <v>1231</v>
      </c>
      <c r="N715" s="16" t="s">
        <v>3433</v>
      </c>
    </row>
    <row r="716" spans="1:14" ht="20.100000000000001" customHeight="1" x14ac:dyDescent="0.25">
      <c r="A716" s="15" t="s">
        <v>3434</v>
      </c>
      <c r="B716" s="16" t="s">
        <v>57</v>
      </c>
      <c r="C716" s="15">
        <v>8400202</v>
      </c>
      <c r="D716" s="16" t="s">
        <v>158</v>
      </c>
      <c r="E716" s="15" t="s">
        <v>3435</v>
      </c>
      <c r="F716" s="21" t="str">
        <f>HYPERLINK("https://psearch.kitsapgov.com/webappa/index.html?parcelID=2282374&amp;Theme=Imagery","2282374")</f>
        <v>2282374</v>
      </c>
      <c r="G716" s="16" t="s">
        <v>3167</v>
      </c>
      <c r="H716" s="17">
        <v>43313</v>
      </c>
      <c r="I716" s="18">
        <v>475000</v>
      </c>
      <c r="J716" s="19">
        <v>10.28</v>
      </c>
      <c r="K716" s="16" t="s">
        <v>100</v>
      </c>
      <c r="L716" s="16" t="s">
        <v>38</v>
      </c>
      <c r="M716" s="16" t="s">
        <v>3436</v>
      </c>
      <c r="N716" s="16" t="s">
        <v>207</v>
      </c>
    </row>
    <row r="717" spans="1:14" ht="20.100000000000001" customHeight="1" x14ac:dyDescent="0.25">
      <c r="A717" s="15" t="s">
        <v>3437</v>
      </c>
      <c r="B717" s="16" t="s">
        <v>57</v>
      </c>
      <c r="C717" s="15">
        <v>8400202</v>
      </c>
      <c r="D717" s="16" t="s">
        <v>158</v>
      </c>
      <c r="E717" s="15" t="s">
        <v>3438</v>
      </c>
      <c r="F717" s="21" t="str">
        <f>HYPERLINK("https://psearch.kitsapgov.com/webappa/index.html?parcelID=2525145&amp;Theme=Imagery","2525145")</f>
        <v>2525145</v>
      </c>
      <c r="G717" s="16" t="s">
        <v>3439</v>
      </c>
      <c r="H717" s="17">
        <v>43312</v>
      </c>
      <c r="I717" s="18">
        <v>450000</v>
      </c>
      <c r="J717" s="19">
        <v>13.87</v>
      </c>
      <c r="K717" s="16" t="s">
        <v>100</v>
      </c>
      <c r="L717" s="16" t="s">
        <v>129</v>
      </c>
      <c r="M717" s="16" t="s">
        <v>3440</v>
      </c>
      <c r="N717" s="16" t="s">
        <v>207</v>
      </c>
    </row>
    <row r="718" spans="1:14" ht="20.100000000000001" customHeight="1" x14ac:dyDescent="0.25">
      <c r="A718" s="15" t="s">
        <v>3441</v>
      </c>
      <c r="B718" s="16" t="s">
        <v>286</v>
      </c>
      <c r="C718" s="15">
        <v>8400206</v>
      </c>
      <c r="D718" s="16" t="s">
        <v>287</v>
      </c>
      <c r="E718" s="15" t="s">
        <v>3442</v>
      </c>
      <c r="F718" s="21" t="str">
        <f>HYPERLINK("https://psearch.kitsapgov.com/webappa/index.html?parcelID=2071306&amp;Theme=Imagery","2071306")</f>
        <v>2071306</v>
      </c>
      <c r="G718" s="16" t="s">
        <v>1312</v>
      </c>
      <c r="H718" s="17">
        <v>43311</v>
      </c>
      <c r="I718" s="18">
        <v>25000</v>
      </c>
      <c r="J718" s="19">
        <v>0</v>
      </c>
      <c r="L718" s="16" t="s">
        <v>372</v>
      </c>
      <c r="M718" s="16" t="s">
        <v>3443</v>
      </c>
      <c r="N718" s="16" t="s">
        <v>3444</v>
      </c>
    </row>
    <row r="719" spans="1:14" ht="20.100000000000001" customHeight="1" x14ac:dyDescent="0.25">
      <c r="A719" s="15" t="s">
        <v>3445</v>
      </c>
      <c r="B719" s="16" t="s">
        <v>526</v>
      </c>
      <c r="C719" s="15">
        <v>8402307</v>
      </c>
      <c r="D719" s="16" t="s">
        <v>151</v>
      </c>
      <c r="E719" s="15" t="s">
        <v>3446</v>
      </c>
      <c r="F719" s="21" t="str">
        <f>HYPERLINK("https://psearch.kitsapgov.com/webappa/index.html?parcelID=1040468&amp;Theme=Imagery","1040468")</f>
        <v>1040468</v>
      </c>
      <c r="G719" s="16" t="s">
        <v>3447</v>
      </c>
      <c r="H719" s="17">
        <v>43311</v>
      </c>
      <c r="I719" s="18">
        <v>308000</v>
      </c>
      <c r="J719" s="19">
        <v>0.76</v>
      </c>
      <c r="K719" s="16" t="s">
        <v>371</v>
      </c>
      <c r="L719" s="16" t="s">
        <v>20</v>
      </c>
      <c r="M719" s="16" t="s">
        <v>3448</v>
      </c>
      <c r="N719" s="16" t="s">
        <v>3449</v>
      </c>
    </row>
    <row r="720" spans="1:14" ht="20.100000000000001" customHeight="1" x14ac:dyDescent="0.25">
      <c r="A720" s="15" t="s">
        <v>3450</v>
      </c>
      <c r="B720" s="16" t="s">
        <v>628</v>
      </c>
      <c r="C720" s="15">
        <v>9402401</v>
      </c>
      <c r="D720" s="16" t="s">
        <v>629</v>
      </c>
      <c r="E720" s="15" t="s">
        <v>1743</v>
      </c>
      <c r="F720" s="21" t="str">
        <f>HYPERLINK("https://psearch.kitsapgov.com/webappa/index.html?parcelID=1720929&amp;Theme=Imagery","1720929")</f>
        <v>1720929</v>
      </c>
      <c r="G720" s="16" t="s">
        <v>1744</v>
      </c>
      <c r="H720" s="17">
        <v>43321</v>
      </c>
      <c r="I720" s="18">
        <v>150000</v>
      </c>
      <c r="J720" s="19">
        <v>0.4</v>
      </c>
      <c r="K720" s="16" t="s">
        <v>1745</v>
      </c>
      <c r="L720" s="16" t="s">
        <v>856</v>
      </c>
      <c r="M720" s="16" t="s">
        <v>1747</v>
      </c>
      <c r="N720" s="16" t="s">
        <v>3451</v>
      </c>
    </row>
    <row r="721" spans="1:14" ht="20.100000000000001" customHeight="1" x14ac:dyDescent="0.25">
      <c r="A721" s="15" t="s">
        <v>3452</v>
      </c>
      <c r="B721" s="16" t="s">
        <v>286</v>
      </c>
      <c r="C721" s="15">
        <v>8303660</v>
      </c>
      <c r="D721" s="16" t="s">
        <v>313</v>
      </c>
      <c r="E721" s="15" t="s">
        <v>3453</v>
      </c>
      <c r="F721" s="21" t="str">
        <f>HYPERLINK("https://psearch.kitsapgov.com/webappa/index.html?parcelID=1882752&amp;Theme=Imagery","1882752")</f>
        <v>1882752</v>
      </c>
      <c r="G721" s="16" t="s">
        <v>3454</v>
      </c>
      <c r="H721" s="17">
        <v>43318</v>
      </c>
      <c r="I721" s="18">
        <v>75000</v>
      </c>
      <c r="J721" s="19">
        <v>0</v>
      </c>
      <c r="L721" s="16" t="s">
        <v>290</v>
      </c>
      <c r="M721" s="16" t="s">
        <v>3455</v>
      </c>
      <c r="N721" s="16" t="s">
        <v>3456</v>
      </c>
    </row>
    <row r="722" spans="1:14" ht="20.100000000000001" customHeight="1" x14ac:dyDescent="0.25">
      <c r="A722" s="15" t="s">
        <v>3457</v>
      </c>
      <c r="B722" s="16" t="s">
        <v>214</v>
      </c>
      <c r="C722" s="15">
        <v>9100591</v>
      </c>
      <c r="D722" s="16" t="s">
        <v>848</v>
      </c>
      <c r="E722" s="15" t="s">
        <v>849</v>
      </c>
      <c r="F722" s="21" t="str">
        <f>HYPERLINK("https://psearch.kitsapgov.com/webappa/index.html?parcelID=1164102&amp;Theme=Imagery","1164102")</f>
        <v>1164102</v>
      </c>
      <c r="G722" s="16" t="s">
        <v>850</v>
      </c>
      <c r="H722" s="17">
        <v>43315</v>
      </c>
      <c r="I722" s="18">
        <v>525000</v>
      </c>
      <c r="J722" s="19">
        <v>4.42</v>
      </c>
      <c r="K722" s="16" t="s">
        <v>397</v>
      </c>
      <c r="L722" s="16" t="s">
        <v>38</v>
      </c>
      <c r="M722" s="16" t="s">
        <v>3458</v>
      </c>
      <c r="N722" s="16" t="s">
        <v>3459</v>
      </c>
    </row>
    <row r="723" spans="1:14" ht="20.100000000000001" customHeight="1" x14ac:dyDescent="0.25">
      <c r="A723" s="15" t="s">
        <v>3460</v>
      </c>
      <c r="B723" s="16" t="s">
        <v>57</v>
      </c>
      <c r="C723" s="15">
        <v>8100506</v>
      </c>
      <c r="D723" s="16" t="s">
        <v>25</v>
      </c>
      <c r="E723" s="15" t="s">
        <v>3086</v>
      </c>
      <c r="F723" s="21" t="str">
        <f>HYPERLINK("https://psearch.kitsapgov.com/webappa/index.html?parcelID=2376887&amp;Theme=Imagery","2376887")</f>
        <v>2376887</v>
      </c>
      <c r="G723" s="16" t="s">
        <v>3087</v>
      </c>
      <c r="H723" s="17">
        <v>43319</v>
      </c>
      <c r="I723" s="18">
        <v>500000</v>
      </c>
      <c r="J723" s="19">
        <v>1.47</v>
      </c>
      <c r="K723" s="16" t="s">
        <v>28</v>
      </c>
      <c r="L723" s="16" t="s">
        <v>20</v>
      </c>
      <c r="M723" s="16" t="s">
        <v>1928</v>
      </c>
      <c r="N723" s="16" t="s">
        <v>3461</v>
      </c>
    </row>
    <row r="724" spans="1:14" ht="20.100000000000001" customHeight="1" x14ac:dyDescent="0.25">
      <c r="A724" s="15" t="s">
        <v>3462</v>
      </c>
      <c r="B724" s="16" t="s">
        <v>49</v>
      </c>
      <c r="C724" s="15">
        <v>9100592</v>
      </c>
      <c r="D724" s="16" t="s">
        <v>105</v>
      </c>
      <c r="E724" s="15" t="s">
        <v>3463</v>
      </c>
      <c r="F724" s="21" t="str">
        <f>HYPERLINK("https://psearch.kitsapgov.com/webappa/index.html?parcelID=1136498&amp;Theme=Imagery","1136498")</f>
        <v>1136498</v>
      </c>
      <c r="G724" s="16" t="s">
        <v>3464</v>
      </c>
      <c r="H724" s="17">
        <v>43319</v>
      </c>
      <c r="I724" s="18">
        <v>285000</v>
      </c>
      <c r="J724" s="19">
        <v>0.46</v>
      </c>
      <c r="K724" s="16" t="s">
        <v>78</v>
      </c>
      <c r="L724" s="16" t="s">
        <v>38</v>
      </c>
      <c r="M724" s="16" t="s">
        <v>3465</v>
      </c>
      <c r="N724" s="16" t="s">
        <v>3466</v>
      </c>
    </row>
    <row r="725" spans="1:14" ht="20.100000000000001" customHeight="1" x14ac:dyDescent="0.25">
      <c r="A725" s="15" t="s">
        <v>3467</v>
      </c>
      <c r="B725" s="16" t="s">
        <v>330</v>
      </c>
      <c r="C725" s="15">
        <v>8100501</v>
      </c>
      <c r="D725" s="16" t="s">
        <v>117</v>
      </c>
      <c r="E725" s="15" t="s">
        <v>3468</v>
      </c>
      <c r="F725" s="21" t="str">
        <f>HYPERLINK("https://psearch.kitsapgov.com/webappa/index.html?parcelID=1140375&amp;Theme=Imagery","1140375")</f>
        <v>1140375</v>
      </c>
      <c r="G725" s="16" t="s">
        <v>3469</v>
      </c>
      <c r="H725" s="17">
        <v>43327</v>
      </c>
      <c r="I725" s="18">
        <v>50000</v>
      </c>
      <c r="J725" s="19">
        <v>0.08</v>
      </c>
      <c r="K725" s="16" t="s">
        <v>218</v>
      </c>
      <c r="L725" s="16" t="s">
        <v>372</v>
      </c>
      <c r="M725" s="16" t="s">
        <v>3470</v>
      </c>
      <c r="N725" s="16" t="s">
        <v>3471</v>
      </c>
    </row>
    <row r="726" spans="1:14" ht="20.100000000000001" customHeight="1" x14ac:dyDescent="0.25">
      <c r="A726" s="15" t="s">
        <v>3472</v>
      </c>
      <c r="B726" s="16" t="s">
        <v>49</v>
      </c>
      <c r="C726" s="15">
        <v>9100542</v>
      </c>
      <c r="D726" s="16" t="s">
        <v>454</v>
      </c>
      <c r="E726" s="15" t="s">
        <v>1208</v>
      </c>
      <c r="F726" s="21" t="str">
        <f>HYPERLINK("https://psearch.kitsapgov.com/webappa/index.html?parcelID=1489947&amp;Theme=Imagery","1489947")</f>
        <v>1489947</v>
      </c>
      <c r="G726" s="16" t="s">
        <v>1209</v>
      </c>
      <c r="H726" s="17">
        <v>43320</v>
      </c>
      <c r="I726" s="18">
        <v>247000</v>
      </c>
      <c r="J726" s="19">
        <v>0.34</v>
      </c>
      <c r="K726" s="16" t="s">
        <v>457</v>
      </c>
      <c r="L726" s="16" t="s">
        <v>38</v>
      </c>
      <c r="M726" s="16" t="s">
        <v>1211</v>
      </c>
      <c r="N726" s="16" t="s">
        <v>3473</v>
      </c>
    </row>
    <row r="727" spans="1:14" ht="20.100000000000001" customHeight="1" x14ac:dyDescent="0.25">
      <c r="A727" s="15" t="s">
        <v>3474</v>
      </c>
      <c r="B727" s="16" t="s">
        <v>3272</v>
      </c>
      <c r="C727" s="15">
        <v>8100502</v>
      </c>
      <c r="D727" s="16" t="s">
        <v>67</v>
      </c>
      <c r="E727" s="15" t="s">
        <v>3475</v>
      </c>
      <c r="F727" s="21" t="str">
        <f>HYPERLINK("https://psearch.kitsapgov.com/webappa/index.html?parcelID=1126606&amp;Theme=Imagery","1126606")</f>
        <v>1126606</v>
      </c>
      <c r="G727" s="16" t="s">
        <v>3476</v>
      </c>
      <c r="H727" s="17">
        <v>43334</v>
      </c>
      <c r="I727" s="18">
        <v>230000</v>
      </c>
      <c r="J727" s="19">
        <v>0.12</v>
      </c>
      <c r="K727" s="16" t="s">
        <v>85</v>
      </c>
      <c r="L727" s="16" t="s">
        <v>38</v>
      </c>
      <c r="M727" s="16" t="s">
        <v>3477</v>
      </c>
      <c r="N727" s="16" t="s">
        <v>3478</v>
      </c>
    </row>
    <row r="728" spans="1:14" ht="20.100000000000001" customHeight="1" x14ac:dyDescent="0.25">
      <c r="A728" s="15" t="s">
        <v>3479</v>
      </c>
      <c r="B728" s="16" t="s">
        <v>1353</v>
      </c>
      <c r="C728" s="15">
        <v>8402405</v>
      </c>
      <c r="D728" s="16" t="s">
        <v>1010</v>
      </c>
      <c r="E728" s="15" t="s">
        <v>3480</v>
      </c>
      <c r="F728" s="21" t="str">
        <f>HYPERLINK("https://psearch.kitsapgov.com/webappa/index.html?parcelID=1772870&amp;Theme=Imagery","1772870")</f>
        <v>1772870</v>
      </c>
      <c r="G728" s="16" t="s">
        <v>3481</v>
      </c>
      <c r="H728" s="17">
        <v>43335</v>
      </c>
      <c r="I728" s="18">
        <v>300000</v>
      </c>
      <c r="J728" s="19">
        <v>0.37</v>
      </c>
      <c r="K728" s="16" t="s">
        <v>194</v>
      </c>
      <c r="L728" s="16" t="s">
        <v>38</v>
      </c>
      <c r="M728" s="16" t="s">
        <v>3482</v>
      </c>
      <c r="N728" s="16" t="s">
        <v>3483</v>
      </c>
    </row>
    <row r="729" spans="1:14" ht="20.100000000000001" customHeight="1" x14ac:dyDescent="0.25">
      <c r="A729" s="15" t="s">
        <v>3484</v>
      </c>
      <c r="B729" s="16" t="s">
        <v>57</v>
      </c>
      <c r="C729" s="15">
        <v>8400202</v>
      </c>
      <c r="D729" s="16" t="s">
        <v>158</v>
      </c>
      <c r="E729" s="15" t="s">
        <v>3485</v>
      </c>
      <c r="F729" s="21" t="str">
        <f>HYPERLINK("https://psearch.kitsapgov.com/webappa/index.html?parcelID=2343028&amp;Theme=Imagery","2343028")</f>
        <v>2343028</v>
      </c>
      <c r="G729" s="16" t="s">
        <v>3486</v>
      </c>
      <c r="H729" s="17">
        <v>43340</v>
      </c>
      <c r="I729" s="18">
        <v>100000</v>
      </c>
      <c r="J729" s="19">
        <v>0.21</v>
      </c>
      <c r="K729" s="16" t="s">
        <v>279</v>
      </c>
      <c r="L729" s="16" t="s">
        <v>38</v>
      </c>
      <c r="M729" s="16" t="s">
        <v>3487</v>
      </c>
      <c r="N729" s="16" t="s">
        <v>3488</v>
      </c>
    </row>
    <row r="730" spans="1:14" ht="20.100000000000001" customHeight="1" x14ac:dyDescent="0.25">
      <c r="A730" s="15" t="s">
        <v>3489</v>
      </c>
      <c r="B730" s="16" t="s">
        <v>96</v>
      </c>
      <c r="C730" s="15">
        <v>8402306</v>
      </c>
      <c r="D730" s="16" t="s">
        <v>34</v>
      </c>
      <c r="E730" s="15" t="s">
        <v>3490</v>
      </c>
      <c r="F730" s="21" t="str">
        <f>HYPERLINK("https://psearch.kitsapgov.com/webappa/index.html?parcelID=1738822&amp;Theme=Imagery","1738822")</f>
        <v>1738822</v>
      </c>
      <c r="G730" s="16" t="s">
        <v>3491</v>
      </c>
      <c r="H730" s="17">
        <v>43340</v>
      </c>
      <c r="I730" s="18">
        <v>350000</v>
      </c>
      <c r="J730" s="19">
        <v>0.16</v>
      </c>
      <c r="K730" s="16" t="s">
        <v>3492</v>
      </c>
      <c r="L730" s="16" t="s">
        <v>20</v>
      </c>
      <c r="M730" s="16" t="s">
        <v>3493</v>
      </c>
      <c r="N730" s="16" t="s">
        <v>3494</v>
      </c>
    </row>
    <row r="731" spans="1:14" ht="20.100000000000001" customHeight="1" x14ac:dyDescent="0.25">
      <c r="A731" s="15" t="s">
        <v>3495</v>
      </c>
      <c r="B731" s="16" t="s">
        <v>74</v>
      </c>
      <c r="C731" s="15">
        <v>8400203</v>
      </c>
      <c r="D731" s="16" t="s">
        <v>97</v>
      </c>
      <c r="E731" s="15" t="s">
        <v>3496</v>
      </c>
      <c r="F731" s="21" t="str">
        <f>HYPERLINK("https://psearch.kitsapgov.com/webappa/index.html?parcelID=1334952&amp;Theme=Imagery","1334952")</f>
        <v>1334952</v>
      </c>
      <c r="G731" s="16" t="s">
        <v>3497</v>
      </c>
      <c r="H731" s="17">
        <v>43336</v>
      </c>
      <c r="I731" s="18">
        <v>1321000</v>
      </c>
      <c r="J731" s="19">
        <v>1.1100000000000001</v>
      </c>
      <c r="K731" s="16" t="s">
        <v>100</v>
      </c>
      <c r="L731" s="16" t="s">
        <v>38</v>
      </c>
      <c r="M731" s="16" t="s">
        <v>3498</v>
      </c>
      <c r="N731" s="16" t="s">
        <v>3499</v>
      </c>
    </row>
    <row r="732" spans="1:14" ht="20.100000000000001" customHeight="1" x14ac:dyDescent="0.25">
      <c r="A732" s="15" t="s">
        <v>3500</v>
      </c>
      <c r="B732" s="16" t="s">
        <v>96</v>
      </c>
      <c r="C732" s="15">
        <v>8401508</v>
      </c>
      <c r="D732" s="16" t="s">
        <v>90</v>
      </c>
      <c r="E732" s="15" t="s">
        <v>3501</v>
      </c>
      <c r="F732" s="21" t="str">
        <f>HYPERLINK("https://psearch.kitsapgov.com/webappa/index.html?parcelID=1279686&amp;Theme=Imagery","1279686")</f>
        <v>1279686</v>
      </c>
      <c r="G732" s="16" t="s">
        <v>3502</v>
      </c>
      <c r="H732" s="17">
        <v>43329</v>
      </c>
      <c r="I732" s="18">
        <v>560000</v>
      </c>
      <c r="J732" s="19">
        <v>0.74</v>
      </c>
      <c r="K732" s="16" t="s">
        <v>78</v>
      </c>
      <c r="L732" s="16" t="s">
        <v>20</v>
      </c>
      <c r="M732" s="16" t="s">
        <v>3503</v>
      </c>
      <c r="N732" s="16" t="s">
        <v>3504</v>
      </c>
    </row>
    <row r="733" spans="1:14" ht="20.100000000000001" customHeight="1" x14ac:dyDescent="0.25">
      <c r="A733" s="15" t="s">
        <v>3505</v>
      </c>
      <c r="B733" s="16" t="s">
        <v>96</v>
      </c>
      <c r="C733" s="15">
        <v>8303601</v>
      </c>
      <c r="D733" s="16" t="s">
        <v>50</v>
      </c>
      <c r="E733" s="15" t="s">
        <v>3506</v>
      </c>
      <c r="F733" s="21" t="str">
        <f>HYPERLINK("https://psearch.kitsapgov.com/webappa/index.html?parcelID=2387009&amp;Theme=Imagery","2387009")</f>
        <v>2387009</v>
      </c>
      <c r="G733" s="16" t="s">
        <v>3507</v>
      </c>
      <c r="H733" s="17">
        <v>43339</v>
      </c>
      <c r="I733" s="18">
        <v>3400000</v>
      </c>
      <c r="J733" s="19">
        <v>1.1000000000000001</v>
      </c>
      <c r="K733" s="16" t="s">
        <v>205</v>
      </c>
      <c r="L733" s="16" t="s">
        <v>38</v>
      </c>
      <c r="M733" s="16" t="s">
        <v>3508</v>
      </c>
      <c r="N733" s="16" t="s">
        <v>3509</v>
      </c>
    </row>
    <row r="734" spans="1:14" ht="20.100000000000001" customHeight="1" x14ac:dyDescent="0.25">
      <c r="A734" s="15" t="s">
        <v>3510</v>
      </c>
      <c r="B734" s="16" t="s">
        <v>89</v>
      </c>
      <c r="C734" s="15">
        <v>8401508</v>
      </c>
      <c r="D734" s="16" t="s">
        <v>90</v>
      </c>
      <c r="E734" s="15" t="s">
        <v>3511</v>
      </c>
      <c r="F734" s="21" t="str">
        <f>HYPERLINK("https://psearch.kitsapgov.com/webappa/index.html?parcelID=1279835&amp;Theme=Imagery","1279835")</f>
        <v>1279835</v>
      </c>
      <c r="G734" s="16" t="s">
        <v>3512</v>
      </c>
      <c r="H734" s="17">
        <v>43341</v>
      </c>
      <c r="I734" s="18">
        <v>433977</v>
      </c>
      <c r="J734" s="19">
        <v>0.54</v>
      </c>
      <c r="K734" s="16" t="s">
        <v>78</v>
      </c>
      <c r="L734" s="16" t="s">
        <v>38</v>
      </c>
      <c r="M734" s="16" t="s">
        <v>3513</v>
      </c>
      <c r="N734" s="16" t="s">
        <v>3514</v>
      </c>
    </row>
    <row r="735" spans="1:14" ht="20.100000000000001" customHeight="1" x14ac:dyDescent="0.25">
      <c r="A735" s="15" t="s">
        <v>3515</v>
      </c>
      <c r="B735" s="16" t="s">
        <v>104</v>
      </c>
      <c r="C735" s="15">
        <v>9402395</v>
      </c>
      <c r="D735" s="16" t="s">
        <v>580</v>
      </c>
      <c r="E735" s="15" t="s">
        <v>3516</v>
      </c>
      <c r="F735" s="21" t="str">
        <f>HYPERLINK("https://psearch.kitsapgov.com/webappa/index.html?parcelID=1512300&amp;Theme=Imagery","1512300")</f>
        <v>1512300</v>
      </c>
      <c r="G735" s="16" t="s">
        <v>3517</v>
      </c>
      <c r="H735" s="17">
        <v>43342</v>
      </c>
      <c r="I735" s="18">
        <v>95000</v>
      </c>
      <c r="J735" s="19">
        <v>7.0000000000000007E-2</v>
      </c>
      <c r="K735" s="16" t="s">
        <v>583</v>
      </c>
      <c r="L735" s="16" t="s">
        <v>38</v>
      </c>
      <c r="M735" s="16" t="s">
        <v>3518</v>
      </c>
      <c r="N735" s="16" t="s">
        <v>3519</v>
      </c>
    </row>
    <row r="736" spans="1:14" ht="20.100000000000001" customHeight="1" x14ac:dyDescent="0.25">
      <c r="A736" s="15" t="s">
        <v>3520</v>
      </c>
      <c r="B736" s="16" t="s">
        <v>57</v>
      </c>
      <c r="C736" s="15">
        <v>8401104</v>
      </c>
      <c r="D736" s="16" t="s">
        <v>144</v>
      </c>
      <c r="E736" s="15" t="s">
        <v>3521</v>
      </c>
      <c r="F736" s="21" t="str">
        <f>HYPERLINK("https://psearch.kitsapgov.com/webappa/index.html?parcelID=2529196&amp;Theme=Imagery","2529196")</f>
        <v>2529196</v>
      </c>
      <c r="G736" s="16" t="s">
        <v>3522</v>
      </c>
      <c r="H736" s="17">
        <v>43347</v>
      </c>
      <c r="I736" s="18">
        <v>600000</v>
      </c>
      <c r="J736" s="19">
        <v>2.87</v>
      </c>
      <c r="K736" s="16" t="s">
        <v>78</v>
      </c>
      <c r="L736" s="16" t="s">
        <v>20</v>
      </c>
      <c r="M736" s="16" t="s">
        <v>3523</v>
      </c>
      <c r="N736" s="16" t="s">
        <v>3524</v>
      </c>
    </row>
    <row r="737" spans="1:14" ht="20.100000000000001" customHeight="1" x14ac:dyDescent="0.25">
      <c r="A737" s="15" t="s">
        <v>3525</v>
      </c>
      <c r="B737" s="16" t="s">
        <v>318</v>
      </c>
      <c r="C737" s="15">
        <v>8402391</v>
      </c>
      <c r="D737" s="16" t="s">
        <v>227</v>
      </c>
      <c r="E737" s="15" t="s">
        <v>3526</v>
      </c>
      <c r="F737" s="21" t="str">
        <f>HYPERLINK("https://psearch.kitsapgov.com/webappa/index.html?parcelID=2456010&amp;Theme=Imagery","2456010")</f>
        <v>2456010</v>
      </c>
      <c r="G737" s="16" t="s">
        <v>3527</v>
      </c>
      <c r="H737" s="17">
        <v>43353</v>
      </c>
      <c r="I737" s="18">
        <v>45000</v>
      </c>
      <c r="J737" s="19">
        <v>0</v>
      </c>
      <c r="L737" s="16" t="s">
        <v>290</v>
      </c>
      <c r="M737" s="16" t="s">
        <v>3528</v>
      </c>
      <c r="N737" s="16" t="s">
        <v>3280</v>
      </c>
    </row>
    <row r="738" spans="1:14" ht="20.100000000000001" customHeight="1" x14ac:dyDescent="0.25">
      <c r="A738" s="15" t="s">
        <v>3529</v>
      </c>
      <c r="B738" s="16" t="s">
        <v>57</v>
      </c>
      <c r="C738" s="15">
        <v>8100504</v>
      </c>
      <c r="D738" s="16" t="s">
        <v>58</v>
      </c>
      <c r="E738" s="15" t="s">
        <v>3530</v>
      </c>
      <c r="F738" s="21" t="str">
        <f>HYPERLINK("https://psearch.kitsapgov.com/webappa/index.html?parcelID=2432359&amp;Theme=Imagery","2432359")</f>
        <v>2432359</v>
      </c>
      <c r="G738" s="16" t="s">
        <v>3531</v>
      </c>
      <c r="H738" s="17">
        <v>43353</v>
      </c>
      <c r="I738" s="18">
        <v>1754</v>
      </c>
      <c r="J738" s="19">
        <v>0.06</v>
      </c>
      <c r="K738" s="16" t="s">
        <v>78</v>
      </c>
      <c r="L738" s="16" t="s">
        <v>246</v>
      </c>
      <c r="M738" s="16" t="s">
        <v>3532</v>
      </c>
      <c r="N738" s="16" t="s">
        <v>3533</v>
      </c>
    </row>
    <row r="739" spans="1:14" ht="20.100000000000001" customHeight="1" x14ac:dyDescent="0.25">
      <c r="A739" s="15" t="s">
        <v>3534</v>
      </c>
      <c r="B739" s="16" t="s">
        <v>57</v>
      </c>
      <c r="C739" s="15">
        <v>8400207</v>
      </c>
      <c r="D739" s="16" t="s">
        <v>998</v>
      </c>
      <c r="E739" s="15" t="s">
        <v>3535</v>
      </c>
      <c r="F739" s="21" t="str">
        <f>HYPERLINK("https://psearch.kitsapgov.com/webappa/index.html?parcelID=2631323&amp;Theme=Imagery","2631323")</f>
        <v>2631323</v>
      </c>
      <c r="G739" s="16" t="s">
        <v>3536</v>
      </c>
      <c r="H739" s="17">
        <v>43357</v>
      </c>
      <c r="I739" s="18">
        <v>309582</v>
      </c>
      <c r="J739" s="19">
        <v>1.18</v>
      </c>
      <c r="K739" s="16" t="s">
        <v>3537</v>
      </c>
      <c r="L739" s="16" t="s">
        <v>38</v>
      </c>
      <c r="M739" s="16" t="s">
        <v>3538</v>
      </c>
      <c r="N739" s="16" t="s">
        <v>3539</v>
      </c>
    </row>
    <row r="740" spans="1:14" ht="20.100000000000001" customHeight="1" x14ac:dyDescent="0.25">
      <c r="A740" s="15" t="s">
        <v>3540</v>
      </c>
      <c r="B740" s="16" t="s">
        <v>57</v>
      </c>
      <c r="C740" s="15">
        <v>8402307</v>
      </c>
      <c r="D740" s="16" t="s">
        <v>151</v>
      </c>
      <c r="E740" s="15" t="s">
        <v>2422</v>
      </c>
      <c r="F740" s="21" t="str">
        <f>HYPERLINK("https://psearch.kitsapgov.com/webappa/index.html?parcelID=1040237&amp;Theme=Imagery","1040237")</f>
        <v>1040237</v>
      </c>
      <c r="G740" s="16" t="s">
        <v>2423</v>
      </c>
      <c r="H740" s="17">
        <v>43339</v>
      </c>
      <c r="I740" s="18">
        <v>120000</v>
      </c>
      <c r="J740" s="19">
        <v>0.54</v>
      </c>
      <c r="K740" s="16" t="s">
        <v>371</v>
      </c>
      <c r="L740" s="16" t="s">
        <v>38</v>
      </c>
      <c r="M740" s="16" t="s">
        <v>2425</v>
      </c>
      <c r="N740" s="16" t="s">
        <v>3541</v>
      </c>
    </row>
    <row r="741" spans="1:14" ht="20.100000000000001" customHeight="1" x14ac:dyDescent="0.25">
      <c r="A741" s="15" t="s">
        <v>3542</v>
      </c>
      <c r="B741" s="16" t="s">
        <v>96</v>
      </c>
      <c r="C741" s="15">
        <v>8402305</v>
      </c>
      <c r="D741" s="16" t="s">
        <v>259</v>
      </c>
      <c r="E741" s="15" t="s">
        <v>3543</v>
      </c>
      <c r="F741" s="21" t="str">
        <f>HYPERLINK("https://psearch.kitsapgov.com/webappa/index.html?parcelID=1162346&amp;Theme=Imagery","1162346")</f>
        <v>1162346</v>
      </c>
      <c r="G741" s="16" t="s">
        <v>3544</v>
      </c>
      <c r="H741" s="17">
        <v>43360</v>
      </c>
      <c r="I741" s="18">
        <v>174000</v>
      </c>
      <c r="J741" s="19">
        <v>0.1</v>
      </c>
      <c r="K741" s="16" t="s">
        <v>302</v>
      </c>
      <c r="L741" s="16" t="s">
        <v>129</v>
      </c>
      <c r="M741" s="16" t="s">
        <v>3545</v>
      </c>
      <c r="N741" s="16" t="s">
        <v>3546</v>
      </c>
    </row>
    <row r="742" spans="1:14" ht="20.100000000000001" customHeight="1" x14ac:dyDescent="0.25">
      <c r="A742" s="15" t="s">
        <v>3547</v>
      </c>
      <c r="B742" s="16" t="s">
        <v>442</v>
      </c>
      <c r="C742" s="15">
        <v>8402307</v>
      </c>
      <c r="D742" s="16" t="s">
        <v>151</v>
      </c>
      <c r="E742" s="15" t="s">
        <v>3548</v>
      </c>
      <c r="F742" s="21" t="str">
        <f>HYPERLINK("https://psearch.kitsapgov.com/webappa/index.html?parcelID=2631273&amp;Theme=Imagery","2631273")</f>
        <v>2631273</v>
      </c>
      <c r="G742" s="16" t="s">
        <v>3549</v>
      </c>
      <c r="H742" s="17">
        <v>43355</v>
      </c>
      <c r="I742" s="18">
        <v>905000</v>
      </c>
      <c r="J742" s="19">
        <v>0.77</v>
      </c>
      <c r="K742" s="16" t="s">
        <v>371</v>
      </c>
      <c r="L742" s="16" t="s">
        <v>20</v>
      </c>
      <c r="M742" s="16" t="s">
        <v>3550</v>
      </c>
      <c r="N742" s="16" t="s">
        <v>3551</v>
      </c>
    </row>
    <row r="743" spans="1:14" ht="20.100000000000001" customHeight="1" x14ac:dyDescent="0.25">
      <c r="A743" s="15" t="s">
        <v>3552</v>
      </c>
      <c r="B743" s="16" t="s">
        <v>407</v>
      </c>
      <c r="C743" s="15">
        <v>8303601</v>
      </c>
      <c r="D743" s="16" t="s">
        <v>50</v>
      </c>
      <c r="E743" s="15" t="s">
        <v>3553</v>
      </c>
      <c r="F743" s="21" t="str">
        <f>HYPERLINK("https://psearch.kitsapgov.com/webappa/index.html?parcelID=2419810&amp;Theme=Imagery","2419810")</f>
        <v>2419810</v>
      </c>
      <c r="G743" s="16" t="s">
        <v>3554</v>
      </c>
      <c r="H743" s="17">
        <v>43363</v>
      </c>
      <c r="I743" s="18">
        <v>700000</v>
      </c>
      <c r="J743" s="19">
        <v>0</v>
      </c>
      <c r="L743" s="16" t="s">
        <v>38</v>
      </c>
      <c r="M743" s="16" t="s">
        <v>1994</v>
      </c>
      <c r="N743" s="16" t="s">
        <v>3555</v>
      </c>
    </row>
    <row r="744" spans="1:14" ht="20.100000000000001" customHeight="1" x14ac:dyDescent="0.25">
      <c r="A744" s="15" t="s">
        <v>3556</v>
      </c>
      <c r="B744" s="16" t="s">
        <v>239</v>
      </c>
      <c r="C744" s="15">
        <v>9100541</v>
      </c>
      <c r="D744" s="16" t="s">
        <v>215</v>
      </c>
      <c r="E744" s="15" t="s">
        <v>3557</v>
      </c>
      <c r="F744" s="21" t="str">
        <f>HYPERLINK("https://psearch.kitsapgov.com/webappa/index.html?parcelID=1453000&amp;Theme=Imagery","1453000")</f>
        <v>1453000</v>
      </c>
      <c r="G744" s="16" t="s">
        <v>3558</v>
      </c>
      <c r="H744" s="17">
        <v>43370</v>
      </c>
      <c r="I744" s="18">
        <v>1050000</v>
      </c>
      <c r="J744" s="19">
        <v>0.21</v>
      </c>
      <c r="K744" s="16" t="s">
        <v>3559</v>
      </c>
      <c r="L744" s="16" t="s">
        <v>20</v>
      </c>
      <c r="M744" s="16" t="s">
        <v>3560</v>
      </c>
      <c r="N744" s="16" t="s">
        <v>3561</v>
      </c>
    </row>
    <row r="745" spans="1:14" ht="20.100000000000001" customHeight="1" x14ac:dyDescent="0.25">
      <c r="A745" s="15" t="s">
        <v>3562</v>
      </c>
      <c r="B745" s="16" t="s">
        <v>57</v>
      </c>
      <c r="C745" s="15">
        <v>8402391</v>
      </c>
      <c r="D745" s="16" t="s">
        <v>227</v>
      </c>
      <c r="E745" s="15" t="s">
        <v>3563</v>
      </c>
      <c r="F745" s="21" t="str">
        <f>HYPERLINK("https://psearch.kitsapgov.com/webappa/index.html?parcelID=1057660&amp;Theme=Imagery","1057660")</f>
        <v>1057660</v>
      </c>
      <c r="G745" s="16" t="s">
        <v>3564</v>
      </c>
      <c r="H745" s="17">
        <v>43356</v>
      </c>
      <c r="I745" s="18">
        <v>9750</v>
      </c>
      <c r="J745" s="19">
        <v>0.03</v>
      </c>
      <c r="K745" s="16" t="s">
        <v>61</v>
      </c>
      <c r="L745" s="16" t="s">
        <v>38</v>
      </c>
      <c r="M745" s="16" t="s">
        <v>3565</v>
      </c>
      <c r="N745" s="16" t="s">
        <v>3566</v>
      </c>
    </row>
    <row r="746" spans="1:14" ht="20.100000000000001" customHeight="1" x14ac:dyDescent="0.25">
      <c r="A746" s="15" t="s">
        <v>3567</v>
      </c>
      <c r="B746" s="16" t="s">
        <v>124</v>
      </c>
      <c r="C746" s="15">
        <v>9100541</v>
      </c>
      <c r="D746" s="16" t="s">
        <v>215</v>
      </c>
      <c r="E746" s="15" t="s">
        <v>2561</v>
      </c>
      <c r="F746" s="21" t="str">
        <f>HYPERLINK("https://psearch.kitsapgov.com/webappa/index.html?parcelID=1436328&amp;Theme=Imagery","1436328")</f>
        <v>1436328</v>
      </c>
      <c r="G746" s="16" t="s">
        <v>2562</v>
      </c>
      <c r="H746" s="17">
        <v>43361</v>
      </c>
      <c r="I746" s="18">
        <v>656750</v>
      </c>
      <c r="J746" s="19">
        <v>0.12</v>
      </c>
      <c r="K746" s="16" t="s">
        <v>235</v>
      </c>
      <c r="L746" s="16" t="s">
        <v>38</v>
      </c>
      <c r="M746" s="16" t="s">
        <v>3568</v>
      </c>
      <c r="N746" s="16" t="s">
        <v>3569</v>
      </c>
    </row>
    <row r="747" spans="1:14" ht="20.100000000000001" customHeight="1" x14ac:dyDescent="0.25">
      <c r="A747" s="15" t="s">
        <v>3570</v>
      </c>
      <c r="B747" s="16" t="s">
        <v>3272</v>
      </c>
      <c r="C747" s="15">
        <v>8303601</v>
      </c>
      <c r="D747" s="16" t="s">
        <v>50</v>
      </c>
      <c r="E747" s="15" t="s">
        <v>3571</v>
      </c>
      <c r="F747" s="21" t="str">
        <f>HYPERLINK("https://psearch.kitsapgov.com/webappa/index.html?parcelID=1517994&amp;Theme=Imagery","1517994")</f>
        <v>1517994</v>
      </c>
      <c r="G747" s="16" t="s">
        <v>3572</v>
      </c>
      <c r="H747" s="17">
        <v>43367</v>
      </c>
      <c r="I747" s="18">
        <v>1800000</v>
      </c>
      <c r="J747" s="19">
        <v>0.28999999999999998</v>
      </c>
      <c r="K747" s="16" t="s">
        <v>326</v>
      </c>
      <c r="L747" s="16" t="s">
        <v>20</v>
      </c>
      <c r="M747" s="16" t="s">
        <v>3573</v>
      </c>
      <c r="N747" s="16" t="s">
        <v>3574</v>
      </c>
    </row>
    <row r="748" spans="1:14" ht="20.100000000000001" customHeight="1" x14ac:dyDescent="0.25">
      <c r="A748" s="15" t="s">
        <v>3575</v>
      </c>
      <c r="B748" s="16" t="s">
        <v>49</v>
      </c>
      <c r="C748" s="15">
        <v>9100542</v>
      </c>
      <c r="D748" s="16" t="s">
        <v>454</v>
      </c>
      <c r="E748" s="15" t="s">
        <v>3576</v>
      </c>
      <c r="F748" s="21" t="str">
        <f>HYPERLINK("https://psearch.kitsapgov.com/webappa/index.html?parcelID=1490051&amp;Theme=Imagery","1490051")</f>
        <v>1490051</v>
      </c>
      <c r="G748" s="16" t="s">
        <v>3577</v>
      </c>
      <c r="H748" s="17">
        <v>43376</v>
      </c>
      <c r="I748" s="18">
        <v>163278</v>
      </c>
      <c r="J748" s="19">
        <v>0.17</v>
      </c>
      <c r="K748" s="16" t="s">
        <v>457</v>
      </c>
      <c r="L748" s="16" t="s">
        <v>129</v>
      </c>
      <c r="M748" s="16" t="s">
        <v>3578</v>
      </c>
      <c r="N748" s="16" t="s">
        <v>3579</v>
      </c>
    </row>
    <row r="749" spans="1:14" ht="20.100000000000001" customHeight="1" x14ac:dyDescent="0.25">
      <c r="A749" s="15" t="s">
        <v>3580</v>
      </c>
      <c r="B749" s="16" t="s">
        <v>96</v>
      </c>
      <c r="C749" s="15">
        <v>8401101</v>
      </c>
      <c r="D749" s="16" t="s">
        <v>185</v>
      </c>
      <c r="E749" s="15" t="s">
        <v>3581</v>
      </c>
      <c r="F749" s="21" t="str">
        <f>HYPERLINK("https://psearch.kitsapgov.com/webappa/index.html?parcelID=1224021&amp;Theme=Imagery","1224021")</f>
        <v>1224021</v>
      </c>
      <c r="G749" s="16" t="s">
        <v>3582</v>
      </c>
      <c r="H749" s="17">
        <v>43376</v>
      </c>
      <c r="I749" s="18">
        <v>1200000</v>
      </c>
      <c r="J749" s="19">
        <v>2.23</v>
      </c>
      <c r="K749" s="16" t="s">
        <v>78</v>
      </c>
      <c r="L749" s="16" t="s">
        <v>38</v>
      </c>
      <c r="M749" s="16" t="s">
        <v>3583</v>
      </c>
      <c r="N749" s="16" t="s">
        <v>3126</v>
      </c>
    </row>
    <row r="750" spans="1:14" ht="20.100000000000001" customHeight="1" x14ac:dyDescent="0.25">
      <c r="A750" s="15" t="s">
        <v>3584</v>
      </c>
      <c r="B750" s="16" t="s">
        <v>57</v>
      </c>
      <c r="C750" s="15">
        <v>8100505</v>
      </c>
      <c r="D750" s="16" t="s">
        <v>17</v>
      </c>
      <c r="E750" s="15" t="s">
        <v>3585</v>
      </c>
      <c r="F750" s="21" t="str">
        <f>HYPERLINK("https://psearch.kitsapgov.com/webappa/index.html?parcelID=1490440&amp;Theme=Imagery","1490440")</f>
        <v>1490440</v>
      </c>
      <c r="G750" s="16" t="s">
        <v>3586</v>
      </c>
      <c r="H750" s="17">
        <v>43382</v>
      </c>
      <c r="I750" s="18">
        <v>60000</v>
      </c>
      <c r="J750" s="19">
        <v>0.21</v>
      </c>
      <c r="K750" s="16" t="s">
        <v>457</v>
      </c>
      <c r="L750" s="16" t="s">
        <v>20</v>
      </c>
      <c r="M750" s="16" t="s">
        <v>3587</v>
      </c>
      <c r="N750" s="16" t="s">
        <v>3588</v>
      </c>
    </row>
    <row r="751" spans="1:14" ht="20.100000000000001" customHeight="1" x14ac:dyDescent="0.25">
      <c r="A751" s="15" t="s">
        <v>3589</v>
      </c>
      <c r="B751" s="16" t="s">
        <v>57</v>
      </c>
      <c r="C751" s="15">
        <v>8100506</v>
      </c>
      <c r="D751" s="16" t="s">
        <v>25</v>
      </c>
      <c r="E751" s="15" t="s">
        <v>3166</v>
      </c>
      <c r="F751" s="21" t="str">
        <f>HYPERLINK("https://psearch.kitsapgov.com/webappa/index.html?parcelID=1493675&amp;Theme=Imagery","1493675")</f>
        <v>1493675</v>
      </c>
      <c r="G751" s="16" t="s">
        <v>3167</v>
      </c>
      <c r="H751" s="17">
        <v>43376</v>
      </c>
      <c r="I751" s="18">
        <v>65260</v>
      </c>
      <c r="J751" s="19">
        <v>0.28999999999999998</v>
      </c>
      <c r="K751" s="16" t="s">
        <v>28</v>
      </c>
      <c r="L751" s="16" t="s">
        <v>246</v>
      </c>
      <c r="M751" s="16" t="s">
        <v>3169</v>
      </c>
      <c r="N751" s="16" t="s">
        <v>3590</v>
      </c>
    </row>
    <row r="752" spans="1:14" ht="20.100000000000001" customHeight="1" x14ac:dyDescent="0.25">
      <c r="A752" s="15" t="s">
        <v>3591</v>
      </c>
      <c r="B752" s="16" t="s">
        <v>89</v>
      </c>
      <c r="C752" s="15">
        <v>8401101</v>
      </c>
      <c r="D752" s="16" t="s">
        <v>185</v>
      </c>
      <c r="E752" s="15" t="s">
        <v>3592</v>
      </c>
      <c r="F752" s="21" t="str">
        <f>HYPERLINK("https://psearch.kitsapgov.com/webappa/index.html?parcelID=2054625&amp;Theme=Imagery","2054625")</f>
        <v>2054625</v>
      </c>
      <c r="G752" s="16" t="s">
        <v>3593</v>
      </c>
      <c r="H752" s="17">
        <v>43382</v>
      </c>
      <c r="I752" s="18">
        <v>7950000</v>
      </c>
      <c r="J752" s="19">
        <v>3.06</v>
      </c>
      <c r="K752" s="16" t="s">
        <v>188</v>
      </c>
      <c r="L752" s="16" t="s">
        <v>38</v>
      </c>
      <c r="M752" s="16" t="s">
        <v>3594</v>
      </c>
      <c r="N752" s="16" t="s">
        <v>3595</v>
      </c>
    </row>
    <row r="753" spans="1:14" ht="20.100000000000001" customHeight="1" x14ac:dyDescent="0.25">
      <c r="A753" s="15" t="s">
        <v>3596</v>
      </c>
      <c r="B753" s="16" t="s">
        <v>33</v>
      </c>
      <c r="C753" s="15">
        <v>8100502</v>
      </c>
      <c r="D753" s="16" t="s">
        <v>67</v>
      </c>
      <c r="E753" s="15" t="s">
        <v>3597</v>
      </c>
      <c r="F753" s="21" t="str">
        <f>HYPERLINK("https://psearch.kitsapgov.com/webappa/index.html?parcelID=2505386&amp;Theme=Imagery","2505386")</f>
        <v>2505386</v>
      </c>
      <c r="G753" s="16" t="s">
        <v>3598</v>
      </c>
      <c r="H753" s="17">
        <v>43388</v>
      </c>
      <c r="I753" s="18">
        <v>400000</v>
      </c>
      <c r="J753" s="19">
        <v>1.6</v>
      </c>
      <c r="K753" s="16" t="s">
        <v>173</v>
      </c>
      <c r="L753" s="16" t="s">
        <v>38</v>
      </c>
      <c r="M753" s="16" t="s">
        <v>3599</v>
      </c>
      <c r="N753" s="16" t="s">
        <v>3600</v>
      </c>
    </row>
    <row r="754" spans="1:14" ht="20.100000000000001" customHeight="1" x14ac:dyDescent="0.25">
      <c r="A754" s="15" t="s">
        <v>3601</v>
      </c>
      <c r="B754" s="16" t="s">
        <v>89</v>
      </c>
      <c r="C754" s="15">
        <v>8401102</v>
      </c>
      <c r="D754" s="16" t="s">
        <v>766</v>
      </c>
      <c r="E754" s="15" t="s">
        <v>3602</v>
      </c>
      <c r="F754" s="21" t="str">
        <f>HYPERLINK("https://psearch.kitsapgov.com/webappa/index.html?parcelID=1660091&amp;Theme=Imagery","1660091")</f>
        <v>1660091</v>
      </c>
      <c r="G754" s="16" t="s">
        <v>3603</v>
      </c>
      <c r="H754" s="17">
        <v>43392</v>
      </c>
      <c r="I754" s="18">
        <v>241182</v>
      </c>
      <c r="J754" s="19">
        <v>0.12</v>
      </c>
      <c r="K754" s="16" t="s">
        <v>309</v>
      </c>
      <c r="L754" s="16" t="s">
        <v>246</v>
      </c>
      <c r="M754" s="16" t="s">
        <v>3604</v>
      </c>
      <c r="N754" s="16" t="s">
        <v>3605</v>
      </c>
    </row>
    <row r="755" spans="1:14" ht="20.100000000000001" customHeight="1" x14ac:dyDescent="0.25">
      <c r="A755" s="15" t="s">
        <v>3606</v>
      </c>
      <c r="B755" s="16" t="s">
        <v>74</v>
      </c>
      <c r="C755" s="15">
        <v>8100502</v>
      </c>
      <c r="D755" s="16" t="s">
        <v>67</v>
      </c>
      <c r="E755" s="15" t="s">
        <v>3607</v>
      </c>
      <c r="F755" s="21" t="str">
        <f>HYPERLINK("https://psearch.kitsapgov.com/webappa/index.html?parcelID=2477081&amp;Theme=Imagery","2477081")</f>
        <v>2477081</v>
      </c>
      <c r="G755" s="16" t="s">
        <v>3608</v>
      </c>
      <c r="H755" s="17">
        <v>43391</v>
      </c>
      <c r="I755" s="18">
        <v>16000000</v>
      </c>
      <c r="J755" s="19">
        <v>3.76</v>
      </c>
      <c r="K755" s="16" t="s">
        <v>85</v>
      </c>
      <c r="L755" s="16" t="s">
        <v>38</v>
      </c>
      <c r="M755" s="16" t="s">
        <v>3609</v>
      </c>
      <c r="N755" s="16" t="s">
        <v>3610</v>
      </c>
    </row>
    <row r="756" spans="1:14" ht="20.100000000000001" customHeight="1" x14ac:dyDescent="0.25">
      <c r="A756" s="15" t="s">
        <v>3611</v>
      </c>
      <c r="B756" s="16" t="s">
        <v>49</v>
      </c>
      <c r="C756" s="15">
        <v>9100542</v>
      </c>
      <c r="D756" s="16" t="s">
        <v>454</v>
      </c>
      <c r="E756" s="15" t="s">
        <v>3576</v>
      </c>
      <c r="F756" s="21" t="str">
        <f>HYPERLINK("https://psearch.kitsapgov.com/webappa/index.html?parcelID=1490051&amp;Theme=Imagery","1490051")</f>
        <v>1490051</v>
      </c>
      <c r="G756" s="16" t="s">
        <v>3577</v>
      </c>
      <c r="H756" s="17">
        <v>43376</v>
      </c>
      <c r="I756" s="18">
        <v>163278</v>
      </c>
      <c r="J756" s="19">
        <v>0.17</v>
      </c>
      <c r="K756" s="16" t="s">
        <v>457</v>
      </c>
      <c r="L756" s="16" t="s">
        <v>129</v>
      </c>
      <c r="M756" s="16" t="s">
        <v>3612</v>
      </c>
      <c r="N756" s="16" t="s">
        <v>3579</v>
      </c>
    </row>
    <row r="757" spans="1:14" ht="20.100000000000001" customHeight="1" x14ac:dyDescent="0.25">
      <c r="A757" s="15" t="s">
        <v>3613</v>
      </c>
      <c r="B757" s="16" t="s">
        <v>49</v>
      </c>
      <c r="C757" s="15">
        <v>9100542</v>
      </c>
      <c r="D757" s="16" t="s">
        <v>454</v>
      </c>
      <c r="E757" s="15" t="s">
        <v>3576</v>
      </c>
      <c r="F757" s="21" t="str">
        <f>HYPERLINK("https://psearch.kitsapgov.com/webappa/index.html?parcelID=1490051&amp;Theme=Imagery","1490051")</f>
        <v>1490051</v>
      </c>
      <c r="G757" s="16" t="s">
        <v>3577</v>
      </c>
      <c r="H757" s="17">
        <v>43377</v>
      </c>
      <c r="I757" s="18">
        <v>163278</v>
      </c>
      <c r="J757" s="19">
        <v>0.17</v>
      </c>
      <c r="K757" s="16" t="s">
        <v>457</v>
      </c>
      <c r="L757" s="16" t="s">
        <v>129</v>
      </c>
      <c r="M757" s="16" t="s">
        <v>3579</v>
      </c>
      <c r="N757" s="16" t="s">
        <v>3614</v>
      </c>
    </row>
    <row r="758" spans="1:14" ht="20.100000000000001" customHeight="1" x14ac:dyDescent="0.25">
      <c r="A758" s="15" t="s">
        <v>3615</v>
      </c>
      <c r="B758" s="16" t="s">
        <v>49</v>
      </c>
      <c r="C758" s="15">
        <v>8100510</v>
      </c>
      <c r="D758" s="16" t="s">
        <v>401</v>
      </c>
      <c r="E758" s="15" t="s">
        <v>461</v>
      </c>
      <c r="F758" s="21" t="str">
        <f>HYPERLINK("https://psearch.kitsapgov.com/webappa/index.html?parcelID=1437888&amp;Theme=Imagery","1437888")</f>
        <v>1437888</v>
      </c>
      <c r="G758" s="16" t="s">
        <v>462</v>
      </c>
      <c r="H758" s="17">
        <v>43395</v>
      </c>
      <c r="I758" s="18">
        <v>175000</v>
      </c>
      <c r="J758" s="19">
        <v>7.0000000000000007E-2</v>
      </c>
      <c r="K758" s="16" t="s">
        <v>28</v>
      </c>
      <c r="L758" s="16" t="s">
        <v>38</v>
      </c>
      <c r="M758" s="16" t="s">
        <v>819</v>
      </c>
      <c r="N758" s="16" t="s">
        <v>3616</v>
      </c>
    </row>
    <row r="759" spans="1:14" ht="20.100000000000001" customHeight="1" x14ac:dyDescent="0.25">
      <c r="A759" s="15" t="s">
        <v>3617</v>
      </c>
      <c r="B759" s="16" t="s">
        <v>66</v>
      </c>
      <c r="C759" s="15">
        <v>8400204</v>
      </c>
      <c r="D759" s="16" t="s">
        <v>178</v>
      </c>
      <c r="E759" s="15" t="s">
        <v>3618</v>
      </c>
      <c r="F759" s="21" t="str">
        <f>HYPERLINK("https://psearch.kitsapgov.com/webappa/index.html?parcelID=1378595&amp;Theme=Imagery","1378595")</f>
        <v>1378595</v>
      </c>
      <c r="G759" s="16" t="s">
        <v>3619</v>
      </c>
      <c r="H759" s="17">
        <v>43376</v>
      </c>
      <c r="I759" s="18">
        <v>2040</v>
      </c>
      <c r="J759" s="19">
        <v>6.88</v>
      </c>
      <c r="K759" s="16" t="s">
        <v>147</v>
      </c>
      <c r="L759" s="16" t="s">
        <v>542</v>
      </c>
      <c r="M759" s="16" t="s">
        <v>1968</v>
      </c>
      <c r="N759" s="16" t="s">
        <v>544</v>
      </c>
    </row>
    <row r="760" spans="1:14" ht="20.100000000000001" customHeight="1" x14ac:dyDescent="0.25">
      <c r="A760" s="15" t="s">
        <v>3620</v>
      </c>
      <c r="B760" s="16" t="s">
        <v>306</v>
      </c>
      <c r="C760" s="15">
        <v>8100502</v>
      </c>
      <c r="D760" s="16" t="s">
        <v>67</v>
      </c>
      <c r="E760" s="15" t="s">
        <v>3621</v>
      </c>
      <c r="F760" s="21" t="str">
        <f>HYPERLINK("https://psearch.kitsapgov.com/webappa/index.html?parcelID=2039626&amp;Theme=Imagery","2039626")</f>
        <v>2039626</v>
      </c>
      <c r="G760" s="16" t="s">
        <v>3622</v>
      </c>
      <c r="H760" s="17">
        <v>43397</v>
      </c>
      <c r="I760" s="18">
        <v>310000</v>
      </c>
      <c r="J760" s="19">
        <v>0.37</v>
      </c>
      <c r="K760" s="16" t="s">
        <v>70</v>
      </c>
      <c r="L760" s="16" t="s">
        <v>38</v>
      </c>
      <c r="M760" s="16" t="s">
        <v>3623</v>
      </c>
      <c r="N760" s="16" t="s">
        <v>3624</v>
      </c>
    </row>
    <row r="761" spans="1:14" ht="20.100000000000001" customHeight="1" x14ac:dyDescent="0.25">
      <c r="A761" s="15" t="s">
        <v>3625</v>
      </c>
      <c r="B761" s="16" t="s">
        <v>704</v>
      </c>
      <c r="C761" s="15">
        <v>9401592</v>
      </c>
      <c r="D761" s="16" t="s">
        <v>705</v>
      </c>
      <c r="E761" s="15" t="s">
        <v>3626</v>
      </c>
      <c r="F761" s="21" t="str">
        <f>HYPERLINK("https://psearch.kitsapgov.com/webappa/index.html?parcelID=1258458&amp;Theme=Imagery","1258458")</f>
        <v>1258458</v>
      </c>
      <c r="G761" s="16" t="s">
        <v>3627</v>
      </c>
      <c r="H761" s="17">
        <v>43398</v>
      </c>
      <c r="I761" s="18">
        <v>1000000</v>
      </c>
      <c r="J761" s="19">
        <v>4.1399999999999997</v>
      </c>
      <c r="K761" s="16" t="s">
        <v>128</v>
      </c>
      <c r="L761" s="16" t="s">
        <v>38</v>
      </c>
      <c r="M761" s="16" t="s">
        <v>3628</v>
      </c>
      <c r="N761" s="16" t="s">
        <v>3629</v>
      </c>
    </row>
    <row r="762" spans="1:14" ht="20.100000000000001" customHeight="1" x14ac:dyDescent="0.25">
      <c r="A762" s="15" t="s">
        <v>3630</v>
      </c>
      <c r="B762" s="16" t="s">
        <v>57</v>
      </c>
      <c r="C762" s="15">
        <v>8400207</v>
      </c>
      <c r="D762" s="16" t="s">
        <v>998</v>
      </c>
      <c r="E762" s="15" t="s">
        <v>3631</v>
      </c>
      <c r="F762" s="21" t="str">
        <f>HYPERLINK("https://psearch.kitsapgov.com/webappa/index.html?parcelID=2631315&amp;Theme=Imagery","2631315")</f>
        <v>2631315</v>
      </c>
      <c r="G762" s="16" t="s">
        <v>3632</v>
      </c>
      <c r="H762" s="17">
        <v>43402</v>
      </c>
      <c r="I762" s="18">
        <v>309582</v>
      </c>
      <c r="J762" s="19">
        <v>1.51</v>
      </c>
      <c r="K762" s="16" t="s">
        <v>3537</v>
      </c>
      <c r="L762" s="16" t="s">
        <v>38</v>
      </c>
      <c r="M762" s="16" t="s">
        <v>3633</v>
      </c>
      <c r="N762" s="16" t="s">
        <v>3634</v>
      </c>
    </row>
    <row r="763" spans="1:14" ht="20.100000000000001" customHeight="1" x14ac:dyDescent="0.25">
      <c r="A763" s="15" t="s">
        <v>3635</v>
      </c>
      <c r="B763" s="16" t="s">
        <v>214</v>
      </c>
      <c r="C763" s="15">
        <v>9100541</v>
      </c>
      <c r="D763" s="16" t="s">
        <v>215</v>
      </c>
      <c r="E763" s="15" t="s">
        <v>3636</v>
      </c>
      <c r="F763" s="21" t="str">
        <f>HYPERLINK("https://psearch.kitsapgov.com/webappa/index.html?parcelID=1468768&amp;Theme=Imagery","1468768")</f>
        <v>1468768</v>
      </c>
      <c r="G763" s="16" t="s">
        <v>3637</v>
      </c>
      <c r="H763" s="17">
        <v>43402</v>
      </c>
      <c r="I763" s="18">
        <v>700</v>
      </c>
      <c r="J763" s="19">
        <v>0.06</v>
      </c>
      <c r="K763" s="16" t="s">
        <v>235</v>
      </c>
      <c r="L763" s="16" t="s">
        <v>1169</v>
      </c>
      <c r="M763" s="16" t="s">
        <v>3638</v>
      </c>
      <c r="N763" s="16" t="s">
        <v>3639</v>
      </c>
    </row>
    <row r="764" spans="1:14" ht="20.100000000000001" customHeight="1" x14ac:dyDescent="0.25">
      <c r="A764" s="15" t="s">
        <v>3640</v>
      </c>
      <c r="B764" s="16" t="s">
        <v>24</v>
      </c>
      <c r="C764" s="15">
        <v>9402401</v>
      </c>
      <c r="D764" s="16" t="s">
        <v>629</v>
      </c>
      <c r="E764" s="15" t="s">
        <v>3641</v>
      </c>
      <c r="F764" s="21" t="str">
        <f>HYPERLINK("https://psearch.kitsapgov.com/webappa/index.html?parcelID=1077023&amp;Theme=Imagery","1077023")</f>
        <v>1077023</v>
      </c>
      <c r="G764" s="16" t="s">
        <v>3642</v>
      </c>
      <c r="H764" s="17">
        <v>43404</v>
      </c>
      <c r="I764" s="18">
        <v>112010</v>
      </c>
      <c r="J764" s="19">
        <v>0.86</v>
      </c>
      <c r="K764" s="16" t="s">
        <v>1745</v>
      </c>
      <c r="L764" s="16" t="s">
        <v>246</v>
      </c>
      <c r="M764" s="16" t="s">
        <v>3643</v>
      </c>
      <c r="N764" s="16" t="s">
        <v>3644</v>
      </c>
    </row>
    <row r="765" spans="1:14" ht="20.100000000000001" customHeight="1" x14ac:dyDescent="0.25">
      <c r="A765" s="15" t="s">
        <v>3645</v>
      </c>
      <c r="B765" s="16" t="s">
        <v>57</v>
      </c>
      <c r="C765" s="15">
        <v>8401508</v>
      </c>
      <c r="D765" s="16" t="s">
        <v>90</v>
      </c>
      <c r="E765" s="15" t="s">
        <v>3646</v>
      </c>
      <c r="F765" s="21" t="str">
        <f>HYPERLINK("https://psearch.kitsapgov.com/webappa/index.html?parcelID=1278803&amp;Theme=Imagery","1278803")</f>
        <v>1278803</v>
      </c>
      <c r="G765" s="16" t="s">
        <v>3647</v>
      </c>
      <c r="H765" s="17">
        <v>43416</v>
      </c>
      <c r="I765" s="18">
        <v>110000</v>
      </c>
      <c r="J765" s="19">
        <v>1.33</v>
      </c>
      <c r="K765" s="16" t="s">
        <v>78</v>
      </c>
      <c r="L765" s="16" t="s">
        <v>372</v>
      </c>
      <c r="M765" s="16" t="s">
        <v>3648</v>
      </c>
      <c r="N765" s="16" t="s">
        <v>3649</v>
      </c>
    </row>
    <row r="766" spans="1:14" ht="20.100000000000001" customHeight="1" x14ac:dyDescent="0.25">
      <c r="A766" s="15" t="s">
        <v>3650</v>
      </c>
      <c r="B766" s="16" t="s">
        <v>96</v>
      </c>
      <c r="C766" s="15">
        <v>8401102</v>
      </c>
      <c r="D766" s="16" t="s">
        <v>766</v>
      </c>
      <c r="E766" s="15" t="s">
        <v>3651</v>
      </c>
      <c r="F766" s="21" t="str">
        <f>HYPERLINK("https://psearch.kitsapgov.com/webappa/index.html?parcelID=2299451&amp;Theme=Imagery","2299451")</f>
        <v>2299451</v>
      </c>
      <c r="G766" s="16" t="s">
        <v>3652</v>
      </c>
      <c r="H766" s="17">
        <v>43412</v>
      </c>
      <c r="I766" s="18">
        <v>383000</v>
      </c>
      <c r="J766" s="19">
        <v>0.09</v>
      </c>
      <c r="K766" s="16" t="s">
        <v>309</v>
      </c>
      <c r="L766" s="16" t="s">
        <v>38</v>
      </c>
      <c r="M766" s="16" t="s">
        <v>3653</v>
      </c>
      <c r="N766" s="16" t="s">
        <v>3654</v>
      </c>
    </row>
    <row r="767" spans="1:14" ht="20.100000000000001" customHeight="1" x14ac:dyDescent="0.25">
      <c r="A767" s="15" t="s">
        <v>3655</v>
      </c>
      <c r="B767" s="16" t="s">
        <v>49</v>
      </c>
      <c r="C767" s="15">
        <v>9100542</v>
      </c>
      <c r="D767" s="16" t="s">
        <v>454</v>
      </c>
      <c r="E767" s="15" t="s">
        <v>3576</v>
      </c>
      <c r="F767" s="21" t="str">
        <f>HYPERLINK("https://psearch.kitsapgov.com/webappa/index.html?parcelID=1490051&amp;Theme=Imagery","1490051")</f>
        <v>1490051</v>
      </c>
      <c r="G767" s="16" t="s">
        <v>3577</v>
      </c>
      <c r="H767" s="17">
        <v>43413</v>
      </c>
      <c r="I767" s="18">
        <v>163000</v>
      </c>
      <c r="J767" s="19">
        <v>0.17</v>
      </c>
      <c r="K767" s="16" t="s">
        <v>457</v>
      </c>
      <c r="L767" s="16" t="s">
        <v>38</v>
      </c>
      <c r="M767" s="16" t="s">
        <v>2202</v>
      </c>
      <c r="N767" s="16" t="s">
        <v>3656</v>
      </c>
    </row>
    <row r="768" spans="1:14" ht="20.100000000000001" customHeight="1" x14ac:dyDescent="0.25">
      <c r="A768" s="15" t="s">
        <v>3657</v>
      </c>
      <c r="B768" s="16" t="s">
        <v>347</v>
      </c>
      <c r="C768" s="15">
        <v>8303601</v>
      </c>
      <c r="D768" s="16" t="s">
        <v>50</v>
      </c>
      <c r="E768" s="15" t="s">
        <v>3658</v>
      </c>
      <c r="F768" s="21" t="str">
        <f>HYPERLINK("https://psearch.kitsapgov.com/webappa/index.html?parcelID=2022598&amp;Theme=Imagery","2022598")</f>
        <v>2022598</v>
      </c>
      <c r="G768" s="16" t="s">
        <v>3659</v>
      </c>
      <c r="H768" s="17">
        <v>43418</v>
      </c>
      <c r="I768" s="18">
        <v>840000</v>
      </c>
      <c r="J768" s="19">
        <v>1.66</v>
      </c>
      <c r="K768" s="16" t="s">
        <v>1939</v>
      </c>
      <c r="L768" s="16" t="s">
        <v>246</v>
      </c>
      <c r="M768" s="16" t="s">
        <v>3660</v>
      </c>
      <c r="N768" s="16" t="s">
        <v>3661</v>
      </c>
    </row>
    <row r="769" spans="1:14" ht="20.100000000000001" customHeight="1" x14ac:dyDescent="0.25">
      <c r="A769" s="15" t="s">
        <v>3662</v>
      </c>
      <c r="B769" s="16" t="s">
        <v>66</v>
      </c>
      <c r="C769" s="15">
        <v>8303601</v>
      </c>
      <c r="D769" s="16" t="s">
        <v>50</v>
      </c>
      <c r="E769" s="15" t="s">
        <v>3663</v>
      </c>
      <c r="F769" s="21" t="str">
        <f>HYPERLINK("https://psearch.kitsapgov.com/webappa/index.html?parcelID=2057750&amp;Theme=Imagery","2057750")</f>
        <v>2057750</v>
      </c>
      <c r="G769" s="16" t="s">
        <v>3664</v>
      </c>
      <c r="H769" s="17">
        <v>43419</v>
      </c>
      <c r="I769" s="18">
        <v>1700000</v>
      </c>
      <c r="J769" s="19">
        <v>1.54</v>
      </c>
      <c r="K769" s="16" t="s">
        <v>1339</v>
      </c>
      <c r="L769" s="16" t="s">
        <v>38</v>
      </c>
      <c r="M769" s="16" t="s">
        <v>3665</v>
      </c>
      <c r="N769" s="16" t="s">
        <v>3666</v>
      </c>
    </row>
    <row r="770" spans="1:14" ht="20.100000000000001" customHeight="1" x14ac:dyDescent="0.25">
      <c r="A770" s="15" t="s">
        <v>3667</v>
      </c>
      <c r="B770" s="16" t="s">
        <v>688</v>
      </c>
      <c r="C770" s="15">
        <v>8401103</v>
      </c>
      <c r="D770" s="16" t="s">
        <v>826</v>
      </c>
      <c r="E770" s="15" t="s">
        <v>3668</v>
      </c>
      <c r="F770" s="21" t="str">
        <f>HYPERLINK("https://psearch.kitsapgov.com/webappa/index.html?parcelID=2381895&amp;Theme=Imagery","2381895")</f>
        <v>2381895</v>
      </c>
      <c r="G770" s="16" t="s">
        <v>3669</v>
      </c>
      <c r="H770" s="17">
        <v>43423</v>
      </c>
      <c r="I770" s="18">
        <v>1950000</v>
      </c>
      <c r="J770" s="19">
        <v>0.85</v>
      </c>
      <c r="K770" s="16" t="s">
        <v>309</v>
      </c>
      <c r="L770" s="16" t="s">
        <v>38</v>
      </c>
      <c r="M770" s="16" t="s">
        <v>3670</v>
      </c>
      <c r="N770" s="16" t="s">
        <v>3671</v>
      </c>
    </row>
    <row r="771" spans="1:14" ht="20.100000000000001" customHeight="1" x14ac:dyDescent="0.25">
      <c r="A771" s="15" t="s">
        <v>3672</v>
      </c>
      <c r="B771" s="16" t="s">
        <v>96</v>
      </c>
      <c r="C771" s="15">
        <v>8401102</v>
      </c>
      <c r="D771" s="16" t="s">
        <v>766</v>
      </c>
      <c r="E771" s="15" t="s">
        <v>3673</v>
      </c>
      <c r="F771" s="21" t="str">
        <f>HYPERLINK("https://psearch.kitsapgov.com/webappa/index.html?parcelID=2029312&amp;Theme=Imagery","2029312")</f>
        <v>2029312</v>
      </c>
      <c r="G771" s="16" t="s">
        <v>3674</v>
      </c>
      <c r="H771" s="17">
        <v>43430</v>
      </c>
      <c r="I771" s="18">
        <v>1250000</v>
      </c>
      <c r="J771" s="19">
        <v>7.0000000000000007E-2</v>
      </c>
      <c r="K771" s="16" t="s">
        <v>188</v>
      </c>
      <c r="L771" s="16" t="s">
        <v>38</v>
      </c>
      <c r="M771" s="16" t="s">
        <v>3675</v>
      </c>
      <c r="N771" s="16" t="s">
        <v>3676</v>
      </c>
    </row>
    <row r="772" spans="1:14" ht="20.100000000000001" customHeight="1" x14ac:dyDescent="0.25">
      <c r="A772" s="15" t="s">
        <v>3677</v>
      </c>
      <c r="B772" s="16" t="s">
        <v>704</v>
      </c>
      <c r="C772" s="15">
        <v>9401118</v>
      </c>
      <c r="D772" s="16" t="s">
        <v>3678</v>
      </c>
      <c r="E772" s="15" t="s">
        <v>3679</v>
      </c>
      <c r="F772" s="21" t="str">
        <f>HYPERLINK("https://psearch.kitsapgov.com/webappa/index.html?parcelID=1353424&amp;Theme=Imagery","1353424")</f>
        <v>1353424</v>
      </c>
      <c r="G772" s="16" t="s">
        <v>3680</v>
      </c>
      <c r="H772" s="17">
        <v>43432</v>
      </c>
      <c r="I772" s="18">
        <v>1288000</v>
      </c>
      <c r="J772" s="19">
        <v>7.31</v>
      </c>
      <c r="K772" s="16" t="s">
        <v>128</v>
      </c>
      <c r="L772" s="16" t="s">
        <v>38</v>
      </c>
      <c r="M772" s="16" t="s">
        <v>3681</v>
      </c>
      <c r="N772" s="16" t="s">
        <v>3682</v>
      </c>
    </row>
    <row r="773" spans="1:14" ht="20.100000000000001" customHeight="1" x14ac:dyDescent="0.25">
      <c r="A773" s="15" t="s">
        <v>3683</v>
      </c>
      <c r="B773" s="16" t="s">
        <v>96</v>
      </c>
      <c r="C773" s="15">
        <v>8303601</v>
      </c>
      <c r="D773" s="16" t="s">
        <v>50</v>
      </c>
      <c r="E773" s="15" t="s">
        <v>1296</v>
      </c>
      <c r="F773" s="21" t="str">
        <f>HYPERLINK("https://psearch.kitsapgov.com/webappa/index.html?parcelID=2411759&amp;Theme=Imagery","2411759")</f>
        <v>2411759</v>
      </c>
      <c r="G773" s="16" t="s">
        <v>1297</v>
      </c>
      <c r="H773" s="17">
        <v>43425</v>
      </c>
      <c r="I773" s="18">
        <v>3165000</v>
      </c>
      <c r="J773" s="19">
        <v>0.28999999999999998</v>
      </c>
      <c r="K773" s="16" t="s">
        <v>326</v>
      </c>
      <c r="L773" s="16" t="s">
        <v>372</v>
      </c>
      <c r="M773" s="16" t="s">
        <v>3684</v>
      </c>
      <c r="N773" s="16" t="s">
        <v>3685</v>
      </c>
    </row>
    <row r="774" spans="1:14" ht="20.100000000000001" customHeight="1" x14ac:dyDescent="0.25">
      <c r="A774" s="15" t="s">
        <v>3686</v>
      </c>
      <c r="B774" s="16" t="s">
        <v>286</v>
      </c>
      <c r="C774" s="15">
        <v>8400206</v>
      </c>
      <c r="D774" s="16" t="s">
        <v>287</v>
      </c>
      <c r="E774" s="15" t="s">
        <v>3687</v>
      </c>
      <c r="F774" s="21" t="str">
        <f>HYPERLINK("https://psearch.kitsapgov.com/webappa/index.html?parcelID=2071082&amp;Theme=Imagery","2071082")</f>
        <v>2071082</v>
      </c>
      <c r="G774" s="16" t="s">
        <v>450</v>
      </c>
      <c r="H774" s="17">
        <v>43433</v>
      </c>
      <c r="I774" s="18">
        <v>38000</v>
      </c>
      <c r="J774" s="19">
        <v>0</v>
      </c>
      <c r="L774" s="16" t="s">
        <v>290</v>
      </c>
      <c r="M774" s="16" t="s">
        <v>3688</v>
      </c>
      <c r="N774" s="16" t="s">
        <v>3689</v>
      </c>
    </row>
    <row r="775" spans="1:14" ht="20.100000000000001" customHeight="1" x14ac:dyDescent="0.25">
      <c r="A775" s="15" t="s">
        <v>3690</v>
      </c>
      <c r="B775" s="16" t="s">
        <v>628</v>
      </c>
      <c r="C775" s="15">
        <v>9401591</v>
      </c>
      <c r="D775" s="16" t="s">
        <v>1960</v>
      </c>
      <c r="E775" s="15" t="s">
        <v>3691</v>
      </c>
      <c r="F775" s="21" t="str">
        <f>HYPERLINK("https://psearch.kitsapgov.com/webappa/index.html?parcelID=1264225&amp;Theme=Imagery","1264225")</f>
        <v>1264225</v>
      </c>
      <c r="G775" s="16" t="s">
        <v>3692</v>
      </c>
      <c r="H775" s="17">
        <v>43438</v>
      </c>
      <c r="I775" s="18">
        <v>660000</v>
      </c>
      <c r="J775" s="19">
        <v>2.19</v>
      </c>
      <c r="K775" s="16" t="s">
        <v>108</v>
      </c>
      <c r="L775" s="16" t="s">
        <v>38</v>
      </c>
      <c r="M775" s="16" t="s">
        <v>3693</v>
      </c>
      <c r="N775" s="16" t="s">
        <v>3694</v>
      </c>
    </row>
    <row r="776" spans="1:14" ht="20.100000000000001" customHeight="1" x14ac:dyDescent="0.25">
      <c r="A776" s="15" t="s">
        <v>3695</v>
      </c>
      <c r="B776" s="16" t="s">
        <v>3696</v>
      </c>
      <c r="C776" s="15">
        <v>9402390</v>
      </c>
      <c r="D776" s="16" t="s">
        <v>271</v>
      </c>
      <c r="E776" s="15" t="s">
        <v>3697</v>
      </c>
      <c r="F776" s="21" t="str">
        <f>HYPERLINK("https://psearch.kitsapgov.com/webappa/index.html?parcelID=1967439&amp;Theme=Imagery","1967439")</f>
        <v>1967439</v>
      </c>
      <c r="G776" s="16" t="s">
        <v>3698</v>
      </c>
      <c r="H776" s="17">
        <v>43444</v>
      </c>
      <c r="I776" s="18">
        <v>3856440</v>
      </c>
      <c r="J776" s="19">
        <v>2.17</v>
      </c>
      <c r="K776" s="16" t="s">
        <v>397</v>
      </c>
      <c r="L776" s="16" t="s">
        <v>20</v>
      </c>
      <c r="M776" s="16" t="s">
        <v>3699</v>
      </c>
      <c r="N776" s="16" t="s">
        <v>3700</v>
      </c>
    </row>
    <row r="777" spans="1:14" ht="20.100000000000001" customHeight="1" x14ac:dyDescent="0.25">
      <c r="A777" s="15" t="s">
        <v>3701</v>
      </c>
      <c r="B777" s="16" t="s">
        <v>57</v>
      </c>
      <c r="C777" s="15">
        <v>8400207</v>
      </c>
      <c r="D777" s="16" t="s">
        <v>998</v>
      </c>
      <c r="E777" s="15" t="s">
        <v>3702</v>
      </c>
      <c r="F777" s="21" t="str">
        <f>HYPERLINK("https://psearch.kitsapgov.com/webappa/index.html?parcelID=2455210&amp;Theme=Imagery","2455210")</f>
        <v>2455210</v>
      </c>
      <c r="G777" s="16" t="s">
        <v>3703</v>
      </c>
      <c r="H777" s="17">
        <v>43433</v>
      </c>
      <c r="I777" s="18">
        <v>674872</v>
      </c>
      <c r="J777" s="19">
        <v>0.95</v>
      </c>
      <c r="K777" s="16" t="s">
        <v>100</v>
      </c>
      <c r="L777" s="16" t="s">
        <v>38</v>
      </c>
      <c r="M777" s="16" t="s">
        <v>823</v>
      </c>
      <c r="N777" s="16" t="s">
        <v>3551</v>
      </c>
    </row>
    <row r="778" spans="1:14" ht="20.100000000000001" customHeight="1" x14ac:dyDescent="0.25">
      <c r="A778" s="15" t="s">
        <v>3704</v>
      </c>
      <c r="B778" s="16" t="s">
        <v>89</v>
      </c>
      <c r="C778" s="15">
        <v>8402307</v>
      </c>
      <c r="D778" s="16" t="s">
        <v>151</v>
      </c>
      <c r="E778" s="15" t="s">
        <v>1151</v>
      </c>
      <c r="F778" s="21" t="str">
        <f>HYPERLINK("https://psearch.kitsapgov.com/webappa/index.html?parcelID=2374387&amp;Theme=Imagery","2374387")</f>
        <v>2374387</v>
      </c>
      <c r="G778" s="16" t="s">
        <v>1152</v>
      </c>
      <c r="H778" s="17">
        <v>43444</v>
      </c>
      <c r="I778" s="18">
        <v>5150000</v>
      </c>
      <c r="J778" s="19">
        <v>1.79</v>
      </c>
      <c r="K778" s="16" t="s">
        <v>154</v>
      </c>
      <c r="L778" s="16" t="s">
        <v>38</v>
      </c>
      <c r="M778" s="16" t="s">
        <v>1154</v>
      </c>
      <c r="N778" s="16" t="s">
        <v>3705</v>
      </c>
    </row>
    <row r="779" spans="1:14" ht="20.100000000000001" customHeight="1" x14ac:dyDescent="0.25">
      <c r="A779" s="15" t="s">
        <v>3706</v>
      </c>
      <c r="B779" s="16" t="s">
        <v>66</v>
      </c>
      <c r="C779" s="15">
        <v>8400204</v>
      </c>
      <c r="D779" s="16" t="s">
        <v>178</v>
      </c>
      <c r="E779" s="15" t="s">
        <v>3618</v>
      </c>
      <c r="F779" s="21" t="str">
        <f>HYPERLINK("https://psearch.kitsapgov.com/webappa/index.html?parcelID=1378595&amp;Theme=Imagery","1378595")</f>
        <v>1378595</v>
      </c>
      <c r="G779" s="16" t="s">
        <v>3619</v>
      </c>
      <c r="H779" s="17">
        <v>43441</v>
      </c>
      <c r="I779" s="18">
        <v>2100000</v>
      </c>
      <c r="J779" s="19">
        <v>6.88</v>
      </c>
      <c r="K779" s="16" t="s">
        <v>147</v>
      </c>
      <c r="L779" s="16" t="s">
        <v>20</v>
      </c>
      <c r="M779" s="16" t="s">
        <v>1968</v>
      </c>
      <c r="N779" s="16" t="s">
        <v>3707</v>
      </c>
    </row>
    <row r="780" spans="1:14" ht="20.100000000000001" customHeight="1" x14ac:dyDescent="0.25">
      <c r="A780" s="15" t="s">
        <v>3708</v>
      </c>
      <c r="B780" s="16" t="s">
        <v>286</v>
      </c>
      <c r="C780" s="15">
        <v>8303660</v>
      </c>
      <c r="D780" s="16" t="s">
        <v>313</v>
      </c>
      <c r="E780" s="15" t="s">
        <v>3709</v>
      </c>
      <c r="F780" s="21" t="str">
        <f>HYPERLINK("https://psearch.kitsapgov.com/webappa/index.html?parcelID=1882000&amp;Theme=Imagery","1882000")</f>
        <v>1882000</v>
      </c>
      <c r="G780" s="16" t="s">
        <v>3710</v>
      </c>
      <c r="H780" s="17">
        <v>43438</v>
      </c>
      <c r="I780" s="18">
        <v>130000</v>
      </c>
      <c r="J780" s="19">
        <v>0</v>
      </c>
      <c r="L780" s="16" t="s">
        <v>290</v>
      </c>
      <c r="M780" s="16" t="s">
        <v>3711</v>
      </c>
      <c r="N780" s="16" t="s">
        <v>3712</v>
      </c>
    </row>
    <row r="781" spans="1:14" ht="20.100000000000001" customHeight="1" x14ac:dyDescent="0.25">
      <c r="A781" s="15" t="s">
        <v>3713</v>
      </c>
      <c r="B781" s="16" t="s">
        <v>57</v>
      </c>
      <c r="C781" s="15">
        <v>8400204</v>
      </c>
      <c r="D781" s="16" t="s">
        <v>178</v>
      </c>
      <c r="E781" s="15" t="s">
        <v>3714</v>
      </c>
      <c r="F781" s="21" t="str">
        <f>HYPERLINK("https://psearch.kitsapgov.com/webappa/index.html?parcelID=2388593&amp;Theme=Imagery","2388593")</f>
        <v>2388593</v>
      </c>
      <c r="G781" s="16" t="s">
        <v>3715</v>
      </c>
      <c r="H781" s="17">
        <v>43446</v>
      </c>
      <c r="I781" s="18">
        <v>950000</v>
      </c>
      <c r="J781" s="19">
        <v>4.37</v>
      </c>
      <c r="K781" s="16" t="s">
        <v>181</v>
      </c>
      <c r="L781" s="16" t="s">
        <v>38</v>
      </c>
      <c r="M781" s="16" t="s">
        <v>3716</v>
      </c>
      <c r="N781" s="16" t="s">
        <v>3717</v>
      </c>
    </row>
    <row r="782" spans="1:14" ht="20.100000000000001" customHeight="1" x14ac:dyDescent="0.25">
      <c r="A782" s="15" t="s">
        <v>3718</v>
      </c>
      <c r="B782" s="16" t="s">
        <v>407</v>
      </c>
      <c r="C782" s="15">
        <v>8303601</v>
      </c>
      <c r="D782" s="16" t="s">
        <v>50</v>
      </c>
      <c r="E782" s="15" t="s">
        <v>3719</v>
      </c>
      <c r="F782" s="21" t="str">
        <f>HYPERLINK("https://psearch.kitsapgov.com/webappa/index.html?parcelID=2612349&amp;Theme=Imagery","2612349")</f>
        <v>2612349</v>
      </c>
      <c r="G782" s="16" t="s">
        <v>3720</v>
      </c>
      <c r="H782" s="17">
        <v>43444</v>
      </c>
      <c r="I782" s="18">
        <v>160000</v>
      </c>
      <c r="J782" s="19">
        <v>0</v>
      </c>
      <c r="L782" s="16" t="s">
        <v>38</v>
      </c>
      <c r="M782" s="16" t="s">
        <v>1994</v>
      </c>
      <c r="N782" s="16" t="s">
        <v>3721</v>
      </c>
    </row>
    <row r="783" spans="1:14" ht="20.100000000000001" customHeight="1" x14ac:dyDescent="0.25">
      <c r="A783" s="15" t="s">
        <v>3722</v>
      </c>
      <c r="B783" s="16" t="s">
        <v>393</v>
      </c>
      <c r="C783" s="15">
        <v>9100542</v>
      </c>
      <c r="D783" s="16" t="s">
        <v>454</v>
      </c>
      <c r="E783" s="15" t="s">
        <v>2109</v>
      </c>
      <c r="F783" s="21" t="str">
        <f>HYPERLINK("https://psearch.kitsapgov.com/webappa/index.html?parcelID=2176626&amp;Theme=Imagery","2176626")</f>
        <v>2176626</v>
      </c>
      <c r="G783" s="16" t="s">
        <v>2110</v>
      </c>
      <c r="H783" s="17">
        <v>43448</v>
      </c>
      <c r="I783" s="18">
        <v>21500000</v>
      </c>
      <c r="J783" s="19">
        <v>5.44</v>
      </c>
      <c r="K783" s="16" t="s">
        <v>1070</v>
      </c>
      <c r="L783" s="16" t="s">
        <v>38</v>
      </c>
      <c r="M783" s="16" t="s">
        <v>2112</v>
      </c>
      <c r="N783" s="16" t="s">
        <v>3723</v>
      </c>
    </row>
    <row r="784" spans="1:14" ht="20.100000000000001" customHeight="1" x14ac:dyDescent="0.25">
      <c r="A784" s="15" t="s">
        <v>3724</v>
      </c>
      <c r="B784" s="16" t="s">
        <v>368</v>
      </c>
      <c r="C784" s="15">
        <v>8401101</v>
      </c>
      <c r="D784" s="16" t="s">
        <v>185</v>
      </c>
      <c r="E784" s="15" t="s">
        <v>413</v>
      </c>
      <c r="F784" s="21" t="str">
        <f>HYPERLINK("https://psearch.kitsapgov.com/webappa/index.html?parcelID=2207363&amp;Theme=Imagery","2207363")</f>
        <v>2207363</v>
      </c>
      <c r="G784" s="16" t="s">
        <v>414</v>
      </c>
      <c r="H784" s="17">
        <v>43448</v>
      </c>
      <c r="I784" s="18">
        <v>24500000</v>
      </c>
      <c r="J784" s="19">
        <v>6.37</v>
      </c>
      <c r="K784" s="16" t="s">
        <v>188</v>
      </c>
      <c r="L784" s="16" t="s">
        <v>38</v>
      </c>
      <c r="M784" s="16" t="s">
        <v>416</v>
      </c>
      <c r="N784" s="16" t="s">
        <v>3725</v>
      </c>
    </row>
    <row r="785" spans="1:14" ht="20.100000000000001" customHeight="1" x14ac:dyDescent="0.25">
      <c r="A785" s="15" t="s">
        <v>3726</v>
      </c>
      <c r="B785" s="16" t="s">
        <v>526</v>
      </c>
      <c r="C785" s="15">
        <v>9401591</v>
      </c>
      <c r="D785" s="16" t="s">
        <v>1960</v>
      </c>
      <c r="E785" s="15" t="s">
        <v>3294</v>
      </c>
      <c r="F785" s="21" t="str">
        <f>HYPERLINK("https://psearch.kitsapgov.com/webappa/index.html?parcelID=1256346&amp;Theme=Imagery","1256346")</f>
        <v>1256346</v>
      </c>
      <c r="G785" s="16" t="s">
        <v>3295</v>
      </c>
      <c r="H785" s="17">
        <v>43453</v>
      </c>
      <c r="I785" s="18">
        <v>5000</v>
      </c>
      <c r="J785" s="19">
        <v>0.34</v>
      </c>
      <c r="K785" s="16" t="s">
        <v>78</v>
      </c>
      <c r="L785" s="16" t="s">
        <v>246</v>
      </c>
      <c r="M785" s="16" t="s">
        <v>2882</v>
      </c>
      <c r="N785" s="16" t="s">
        <v>3727</v>
      </c>
    </row>
    <row r="786" spans="1:14" ht="20.100000000000001" customHeight="1" x14ac:dyDescent="0.25">
      <c r="A786" s="15" t="s">
        <v>3728</v>
      </c>
      <c r="B786" s="16" t="s">
        <v>526</v>
      </c>
      <c r="C786" s="15">
        <v>9402390</v>
      </c>
      <c r="D786" s="16" t="s">
        <v>271</v>
      </c>
      <c r="E786" s="15" t="s">
        <v>3729</v>
      </c>
      <c r="F786" s="21" t="str">
        <f>HYPERLINK("https://psearch.kitsapgov.com/webappa/index.html?parcelID=1040179&amp;Theme=Imagery","1040179")</f>
        <v>1040179</v>
      </c>
      <c r="G786" s="16" t="s">
        <v>3730</v>
      </c>
      <c r="H786" s="17">
        <v>43447</v>
      </c>
      <c r="I786" s="18">
        <v>135000</v>
      </c>
      <c r="J786" s="19">
        <v>0.57999999999999996</v>
      </c>
      <c r="K786" s="16" t="s">
        <v>154</v>
      </c>
      <c r="L786" s="16" t="s">
        <v>38</v>
      </c>
      <c r="M786" s="16" t="s">
        <v>3731</v>
      </c>
      <c r="N786" s="16" t="s">
        <v>3732</v>
      </c>
    </row>
    <row r="787" spans="1:14" ht="20.100000000000001" customHeight="1" x14ac:dyDescent="0.25">
      <c r="A787" s="15" t="s">
        <v>3733</v>
      </c>
      <c r="B787" s="16" t="s">
        <v>286</v>
      </c>
      <c r="C787" s="15">
        <v>8400206</v>
      </c>
      <c r="D787" s="16" t="s">
        <v>287</v>
      </c>
      <c r="E787" s="15" t="s">
        <v>3734</v>
      </c>
      <c r="F787" s="21" t="str">
        <f>HYPERLINK("https://psearch.kitsapgov.com/webappa/index.html?parcelID=2071322&amp;Theme=Imagery","2071322")</f>
        <v>2071322</v>
      </c>
      <c r="G787" s="16" t="s">
        <v>1312</v>
      </c>
      <c r="H787" s="17">
        <v>43440</v>
      </c>
      <c r="I787" s="18">
        <v>26000</v>
      </c>
      <c r="J787" s="19">
        <v>0</v>
      </c>
      <c r="L787" s="16" t="s">
        <v>290</v>
      </c>
      <c r="M787" s="16" t="s">
        <v>3735</v>
      </c>
      <c r="N787" s="16" t="s">
        <v>3736</v>
      </c>
    </row>
    <row r="788" spans="1:14" ht="20.100000000000001" customHeight="1" x14ac:dyDescent="0.25">
      <c r="A788" s="15" t="s">
        <v>3737</v>
      </c>
      <c r="B788" s="16" t="s">
        <v>49</v>
      </c>
      <c r="C788" s="15">
        <v>8303601</v>
      </c>
      <c r="D788" s="16" t="s">
        <v>50</v>
      </c>
      <c r="E788" s="15" t="s">
        <v>3738</v>
      </c>
      <c r="F788" s="21" t="str">
        <f>HYPERLINK("https://psearch.kitsapgov.com/webappa/index.html?parcelID=1307867&amp;Theme=Imagery","1307867")</f>
        <v>1307867</v>
      </c>
      <c r="G788" s="16" t="s">
        <v>3739</v>
      </c>
      <c r="H788" s="17">
        <v>43448</v>
      </c>
      <c r="I788" s="18">
        <v>705000</v>
      </c>
      <c r="J788" s="19">
        <v>0.32</v>
      </c>
      <c r="K788" s="16" t="s">
        <v>53</v>
      </c>
      <c r="L788" s="16" t="s">
        <v>38</v>
      </c>
      <c r="M788" s="16" t="s">
        <v>3740</v>
      </c>
      <c r="N788" s="16" t="s">
        <v>3741</v>
      </c>
    </row>
    <row r="789" spans="1:14" ht="20.100000000000001" customHeight="1" x14ac:dyDescent="0.25">
      <c r="A789" s="15" t="s">
        <v>3742</v>
      </c>
      <c r="B789" s="16" t="s">
        <v>1031</v>
      </c>
      <c r="C789" s="15">
        <v>8100502</v>
      </c>
      <c r="D789" s="16" t="s">
        <v>67</v>
      </c>
      <c r="E789" s="15" t="s">
        <v>3743</v>
      </c>
      <c r="F789" s="21" t="str">
        <f>HYPERLINK("https://psearch.kitsapgov.com/webappa/index.html?parcelID=2631257&amp;Theme=Imagery","2631257")</f>
        <v>2631257</v>
      </c>
      <c r="G789" s="16" t="s">
        <v>3744</v>
      </c>
      <c r="H789" s="17">
        <v>43451</v>
      </c>
      <c r="I789" s="18">
        <v>2750000</v>
      </c>
      <c r="J789" s="19">
        <v>5.27</v>
      </c>
      <c r="K789" s="16" t="s">
        <v>522</v>
      </c>
      <c r="L789" s="16" t="s">
        <v>1204</v>
      </c>
      <c r="M789" s="16" t="s">
        <v>3745</v>
      </c>
      <c r="N789" s="16" t="s">
        <v>3746</v>
      </c>
    </row>
    <row r="790" spans="1:14" ht="20.100000000000001" customHeight="1" x14ac:dyDescent="0.25">
      <c r="A790" s="15" t="s">
        <v>3747</v>
      </c>
      <c r="B790" s="16" t="s">
        <v>368</v>
      </c>
      <c r="C790" s="15">
        <v>8100505</v>
      </c>
      <c r="D790" s="16" t="s">
        <v>17</v>
      </c>
      <c r="E790" s="15" t="s">
        <v>2775</v>
      </c>
      <c r="F790" s="21" t="str">
        <f>HYPERLINK("https://psearch.kitsapgov.com/webappa/index.html?parcelID=2093862&amp;Theme=Imagery","2093862")</f>
        <v>2093862</v>
      </c>
      <c r="G790" s="16" t="s">
        <v>2776</v>
      </c>
      <c r="H790" s="17">
        <v>43454</v>
      </c>
      <c r="I790" s="18">
        <v>3452755</v>
      </c>
      <c r="J790" s="19">
        <v>0.77</v>
      </c>
      <c r="K790" s="16" t="s">
        <v>457</v>
      </c>
      <c r="L790" s="16" t="s">
        <v>856</v>
      </c>
      <c r="M790" s="16" t="s">
        <v>3748</v>
      </c>
      <c r="N790" s="16" t="s">
        <v>3749</v>
      </c>
    </row>
    <row r="791" spans="1:14" ht="20.100000000000001" customHeight="1" x14ac:dyDescent="0.25">
      <c r="A791" s="15" t="s">
        <v>3750</v>
      </c>
      <c r="B791" s="16" t="s">
        <v>89</v>
      </c>
      <c r="C791" s="15">
        <v>8400201</v>
      </c>
      <c r="D791" s="16" t="s">
        <v>941</v>
      </c>
      <c r="E791" s="15" t="s">
        <v>3751</v>
      </c>
      <c r="F791" s="21" t="str">
        <f>HYPERLINK("https://psearch.kitsapgov.com/webappa/index.html?parcelID=2366862&amp;Theme=Imagery","2366862")</f>
        <v>2366862</v>
      </c>
      <c r="G791" s="16" t="s">
        <v>3752</v>
      </c>
      <c r="H791" s="17">
        <v>43454</v>
      </c>
      <c r="I791" s="18">
        <v>425000</v>
      </c>
      <c r="J791" s="19">
        <v>0.28000000000000003</v>
      </c>
      <c r="K791" s="16" t="s">
        <v>944</v>
      </c>
      <c r="L791" s="16" t="s">
        <v>20</v>
      </c>
      <c r="M791" s="16" t="s">
        <v>3753</v>
      </c>
      <c r="N791" s="16" t="s">
        <v>3754</v>
      </c>
    </row>
    <row r="792" spans="1:14" ht="20.100000000000001" customHeight="1" x14ac:dyDescent="0.25">
      <c r="A792" s="15" t="s">
        <v>3755</v>
      </c>
      <c r="B792" s="16" t="s">
        <v>66</v>
      </c>
      <c r="C792" s="15">
        <v>8100502</v>
      </c>
      <c r="D792" s="16" t="s">
        <v>67</v>
      </c>
      <c r="E792" s="15" t="s">
        <v>520</v>
      </c>
      <c r="F792" s="21" t="str">
        <f>HYPERLINK("https://psearch.kitsapgov.com/webappa/index.html?parcelID=1449578&amp;Theme=Imagery","1449578")</f>
        <v>1449578</v>
      </c>
      <c r="G792" s="16" t="s">
        <v>521</v>
      </c>
      <c r="H792" s="17">
        <v>43461</v>
      </c>
      <c r="I792" s="18">
        <v>319000</v>
      </c>
      <c r="J792" s="19">
        <v>0.34</v>
      </c>
      <c r="K792" s="16" t="s">
        <v>522</v>
      </c>
      <c r="L792" s="16" t="s">
        <v>981</v>
      </c>
      <c r="M792" s="16" t="s">
        <v>524</v>
      </c>
      <c r="N792" s="16" t="s">
        <v>3756</v>
      </c>
    </row>
    <row r="793" spans="1:14" ht="20.100000000000001" customHeight="1" x14ac:dyDescent="0.25">
      <c r="A793" s="15" t="s">
        <v>3757</v>
      </c>
      <c r="B793" s="16" t="s">
        <v>286</v>
      </c>
      <c r="C793" s="15">
        <v>8400206</v>
      </c>
      <c r="D793" s="16" t="s">
        <v>287</v>
      </c>
      <c r="E793" s="15" t="s">
        <v>3758</v>
      </c>
      <c r="F793" s="21" t="str">
        <f>HYPERLINK("https://psearch.kitsapgov.com/webappa/index.html?parcelID=2071934&amp;Theme=Imagery","2071934")</f>
        <v>2071934</v>
      </c>
      <c r="G793" s="16" t="s">
        <v>289</v>
      </c>
      <c r="H793" s="17">
        <v>43458</v>
      </c>
      <c r="I793" s="18">
        <v>32250</v>
      </c>
      <c r="J793" s="19">
        <v>0</v>
      </c>
      <c r="L793" s="16" t="s">
        <v>290</v>
      </c>
      <c r="M793" s="16" t="s">
        <v>3759</v>
      </c>
      <c r="N793" s="16" t="s">
        <v>3760</v>
      </c>
    </row>
    <row r="794" spans="1:14" ht="20.100000000000001" customHeight="1" x14ac:dyDescent="0.25">
      <c r="A794" s="15" t="s">
        <v>3761</v>
      </c>
      <c r="B794" s="16" t="s">
        <v>407</v>
      </c>
      <c r="C794" s="15">
        <v>8401102</v>
      </c>
      <c r="D794" s="16" t="s">
        <v>766</v>
      </c>
      <c r="E794" s="15" t="s">
        <v>3762</v>
      </c>
      <c r="F794" s="21" t="str">
        <f>HYPERLINK("https://psearch.kitsapgov.com/webappa/index.html?parcelID=2636728&amp;Theme=Imagery","2636728")</f>
        <v>2636728</v>
      </c>
      <c r="G794" s="16" t="s">
        <v>3763</v>
      </c>
      <c r="H794" s="17">
        <v>43454</v>
      </c>
      <c r="I794" s="18">
        <v>700000</v>
      </c>
      <c r="J794" s="19">
        <v>0</v>
      </c>
      <c r="L794" s="16" t="s">
        <v>38</v>
      </c>
      <c r="M794" s="16" t="s">
        <v>3764</v>
      </c>
      <c r="N794" s="16" t="s">
        <v>3765</v>
      </c>
    </row>
    <row r="795" spans="1:14" ht="20.100000000000001" customHeight="1" x14ac:dyDescent="0.25">
      <c r="A795" s="15" t="s">
        <v>3766</v>
      </c>
      <c r="B795" s="16" t="s">
        <v>239</v>
      </c>
      <c r="C795" s="15">
        <v>8100502</v>
      </c>
      <c r="D795" s="16" t="s">
        <v>67</v>
      </c>
      <c r="E795" s="15" t="s">
        <v>3767</v>
      </c>
      <c r="F795" s="21" t="str">
        <f>HYPERLINK("https://psearch.kitsapgov.com/webappa/index.html?parcelID=1457266&amp;Theme=Imagery","1457266")</f>
        <v>1457266</v>
      </c>
      <c r="G795" s="16" t="s">
        <v>3768</v>
      </c>
      <c r="H795" s="17">
        <v>43458</v>
      </c>
      <c r="I795" s="18">
        <v>300000</v>
      </c>
      <c r="J795" s="19">
        <v>0.33</v>
      </c>
      <c r="K795" s="16" t="s">
        <v>85</v>
      </c>
      <c r="L795" s="16" t="s">
        <v>20</v>
      </c>
      <c r="M795" s="16" t="s">
        <v>3769</v>
      </c>
      <c r="N795" s="16" t="s">
        <v>3770</v>
      </c>
    </row>
    <row r="796" spans="1:14" ht="20.100000000000001" customHeight="1" x14ac:dyDescent="0.25">
      <c r="A796" s="15" t="s">
        <v>3771</v>
      </c>
      <c r="B796" s="16" t="s">
        <v>628</v>
      </c>
      <c r="C796" s="15">
        <v>9402395</v>
      </c>
      <c r="D796" s="16" t="s">
        <v>580</v>
      </c>
      <c r="E796" s="15" t="s">
        <v>3772</v>
      </c>
      <c r="F796" s="21" t="str">
        <f>HYPERLINK("https://psearch.kitsapgov.com/webappa/index.html?parcelID=1507862&amp;Theme=Imagery","1507862")</f>
        <v>1507862</v>
      </c>
      <c r="G796" s="16" t="s">
        <v>3773</v>
      </c>
      <c r="H796" s="17">
        <v>43448</v>
      </c>
      <c r="I796" s="18">
        <v>370800</v>
      </c>
      <c r="J796" s="19">
        <v>0.17</v>
      </c>
      <c r="K796" s="16" t="s">
        <v>583</v>
      </c>
      <c r="L796" s="16" t="s">
        <v>856</v>
      </c>
      <c r="M796" s="16" t="s">
        <v>3774</v>
      </c>
      <c r="N796" s="16" t="s">
        <v>3775</v>
      </c>
    </row>
    <row r="797" spans="1:14" ht="20.100000000000001" customHeight="1" x14ac:dyDescent="0.25">
      <c r="A797" s="15" t="s">
        <v>3776</v>
      </c>
      <c r="B797" s="16" t="s">
        <v>66</v>
      </c>
      <c r="C797" s="15">
        <v>8100502</v>
      </c>
      <c r="D797" s="16" t="s">
        <v>67</v>
      </c>
      <c r="E797" s="15" t="s">
        <v>3777</v>
      </c>
      <c r="F797" s="21" t="str">
        <f>HYPERLINK("https://psearch.kitsapgov.com/webappa/index.html?parcelID=1152321&amp;Theme=Imagery","1152321")</f>
        <v>1152321</v>
      </c>
      <c r="G797" s="16" t="s">
        <v>3778</v>
      </c>
      <c r="H797" s="17">
        <v>43438</v>
      </c>
      <c r="I797" s="18">
        <v>1950000</v>
      </c>
      <c r="J797" s="19">
        <v>0.86</v>
      </c>
      <c r="K797" s="16" t="s">
        <v>173</v>
      </c>
      <c r="L797" s="16" t="s">
        <v>38</v>
      </c>
      <c r="M797" s="16" t="s">
        <v>3779</v>
      </c>
      <c r="N797" s="16" t="s">
        <v>3780</v>
      </c>
    </row>
    <row r="798" spans="1:14" ht="20.100000000000001" customHeight="1" x14ac:dyDescent="0.25">
      <c r="A798" s="15" t="s">
        <v>3781</v>
      </c>
      <c r="B798" s="16" t="s">
        <v>3782</v>
      </c>
      <c r="C798" s="15">
        <v>9400203</v>
      </c>
      <c r="D798" s="16" t="s">
        <v>42</v>
      </c>
      <c r="E798" s="15" t="s">
        <v>3783</v>
      </c>
      <c r="F798" s="21" t="str">
        <f>HYPERLINK("https://psearch.kitsapgov.com/webappa/index.html?parcelID=2547198&amp;Theme=Imagery","2547198")</f>
        <v>2547198</v>
      </c>
      <c r="G798" s="16" t="s">
        <v>3784</v>
      </c>
      <c r="H798" s="17">
        <v>43447</v>
      </c>
      <c r="I798" s="18">
        <v>8300000</v>
      </c>
      <c r="J798" s="19">
        <v>14.25</v>
      </c>
      <c r="K798" s="16" t="s">
        <v>3785</v>
      </c>
      <c r="L798" s="16" t="s">
        <v>38</v>
      </c>
      <c r="M798" s="16" t="s">
        <v>3786</v>
      </c>
      <c r="N798" s="16" t="s">
        <v>3787</v>
      </c>
    </row>
    <row r="799" spans="1:14" ht="20.100000000000001" customHeight="1" x14ac:dyDescent="0.25">
      <c r="A799" s="15" t="s">
        <v>3788</v>
      </c>
      <c r="B799" s="16" t="s">
        <v>57</v>
      </c>
      <c r="C799" s="15">
        <v>8402306</v>
      </c>
      <c r="D799" s="16" t="s">
        <v>34</v>
      </c>
      <c r="E799" s="15" t="s">
        <v>3789</v>
      </c>
      <c r="F799" s="21" t="str">
        <f>HYPERLINK("https://psearch.kitsapgov.com/webappa/index.html?parcelID=1738590&amp;Theme=Imagery","1738590")</f>
        <v>1738590</v>
      </c>
      <c r="G799" s="16" t="s">
        <v>3790</v>
      </c>
      <c r="H799" s="17">
        <v>43461</v>
      </c>
      <c r="I799" s="18">
        <v>550000</v>
      </c>
      <c r="J799" s="19">
        <v>0.18</v>
      </c>
      <c r="K799" s="16" t="s">
        <v>37</v>
      </c>
      <c r="L799" s="16" t="s">
        <v>38</v>
      </c>
      <c r="M799" s="16" t="s">
        <v>3791</v>
      </c>
      <c r="N799" s="16" t="s">
        <v>3792</v>
      </c>
    </row>
    <row r="800" spans="1:14" ht="20.100000000000001" customHeight="1" x14ac:dyDescent="0.25">
      <c r="A800" s="15" t="s">
        <v>3793</v>
      </c>
      <c r="B800" s="16" t="s">
        <v>124</v>
      </c>
      <c r="C800" s="15">
        <v>9402395</v>
      </c>
      <c r="D800" s="16" t="s">
        <v>580</v>
      </c>
      <c r="E800" s="15" t="s">
        <v>1664</v>
      </c>
      <c r="F800" s="21" t="str">
        <f>HYPERLINK("https://psearch.kitsapgov.com/webappa/index.html?parcelID=2338580&amp;Theme=Imagery","2338580")</f>
        <v>2338580</v>
      </c>
      <c r="G800" s="16" t="s">
        <v>1665</v>
      </c>
      <c r="H800" s="17">
        <v>43462</v>
      </c>
      <c r="I800" s="18">
        <v>627000</v>
      </c>
      <c r="J800" s="19">
        <v>0.39</v>
      </c>
      <c r="K800" s="16" t="s">
        <v>1373</v>
      </c>
      <c r="L800" s="16" t="s">
        <v>38</v>
      </c>
      <c r="M800" s="16" t="s">
        <v>1667</v>
      </c>
      <c r="N800" s="16" t="s">
        <v>3794</v>
      </c>
    </row>
    <row r="801" spans="1:14" ht="20.100000000000001" customHeight="1" x14ac:dyDescent="0.25">
      <c r="A801" s="15" t="s">
        <v>3795</v>
      </c>
      <c r="B801" s="16" t="s">
        <v>688</v>
      </c>
      <c r="C801" s="15">
        <v>8400204</v>
      </c>
      <c r="D801" s="16" t="s">
        <v>178</v>
      </c>
      <c r="E801" s="15" t="s">
        <v>3796</v>
      </c>
      <c r="F801" s="21" t="str">
        <f>HYPERLINK("https://psearch.kitsapgov.com/webappa/index.html?parcelID=1234061&amp;Theme=Imagery","1234061")</f>
        <v>1234061</v>
      </c>
      <c r="G801" s="16" t="s">
        <v>3797</v>
      </c>
      <c r="H801" s="17">
        <v>43465</v>
      </c>
      <c r="I801" s="18">
        <v>190000</v>
      </c>
      <c r="J801" s="19">
        <v>0.36</v>
      </c>
      <c r="K801" s="16" t="s">
        <v>194</v>
      </c>
      <c r="L801" s="16" t="s">
        <v>20</v>
      </c>
      <c r="M801" s="16" t="s">
        <v>2630</v>
      </c>
      <c r="N801" s="16" t="s">
        <v>3798</v>
      </c>
    </row>
    <row r="802" spans="1:14" ht="20.100000000000001" customHeight="1" x14ac:dyDescent="0.25">
      <c r="A802" s="15" t="s">
        <v>3799</v>
      </c>
      <c r="B802" s="16" t="s">
        <v>96</v>
      </c>
      <c r="C802" s="15">
        <v>8401101</v>
      </c>
      <c r="D802" s="16" t="s">
        <v>185</v>
      </c>
      <c r="E802" s="15" t="s">
        <v>3800</v>
      </c>
      <c r="F802" s="21" t="str">
        <f>HYPERLINK("https://psearch.kitsapgov.com/webappa/index.html?parcelID=2028918&amp;Theme=Imagery","2028918")</f>
        <v>2028918</v>
      </c>
      <c r="G802" s="16" t="s">
        <v>3801</v>
      </c>
      <c r="H802" s="17">
        <v>43461</v>
      </c>
      <c r="I802" s="18">
        <v>1743493</v>
      </c>
      <c r="J802" s="19">
        <v>0.83</v>
      </c>
      <c r="K802" s="16" t="s">
        <v>188</v>
      </c>
      <c r="L802" s="16" t="s">
        <v>38</v>
      </c>
      <c r="M802" s="16" t="s">
        <v>3802</v>
      </c>
      <c r="N802" s="16" t="s">
        <v>3803</v>
      </c>
    </row>
    <row r="803" spans="1:14" ht="20.100000000000001" customHeight="1" x14ac:dyDescent="0.25">
      <c r="A803" s="15" t="s">
        <v>3804</v>
      </c>
      <c r="B803" s="16" t="s">
        <v>96</v>
      </c>
      <c r="C803" s="15">
        <v>8401508</v>
      </c>
      <c r="D803" s="16" t="s">
        <v>90</v>
      </c>
      <c r="E803" s="15" t="s">
        <v>3805</v>
      </c>
      <c r="F803" s="21" t="str">
        <f>HYPERLINK("https://psearch.kitsapgov.com/webappa/index.html?parcelID=1260496&amp;Theme=Imagery","1260496")</f>
        <v>1260496</v>
      </c>
      <c r="G803" s="16" t="s">
        <v>3806</v>
      </c>
      <c r="H803" s="17">
        <v>43461</v>
      </c>
      <c r="I803" s="18">
        <v>1202380</v>
      </c>
      <c r="J803" s="19">
        <v>0.48</v>
      </c>
      <c r="K803" s="16" t="s">
        <v>78</v>
      </c>
      <c r="L803" s="16" t="s">
        <v>38</v>
      </c>
      <c r="M803" s="16" t="s">
        <v>3802</v>
      </c>
      <c r="N803" s="16" t="s">
        <v>3807</v>
      </c>
    </row>
    <row r="804" spans="1:14" ht="20.100000000000001" customHeight="1" x14ac:dyDescent="0.25">
      <c r="A804" s="15" t="s">
        <v>3808</v>
      </c>
      <c r="B804" s="16" t="s">
        <v>57</v>
      </c>
      <c r="C804" s="15">
        <v>8401101</v>
      </c>
      <c r="D804" s="16" t="s">
        <v>185</v>
      </c>
      <c r="E804" s="15" t="s">
        <v>3809</v>
      </c>
      <c r="F804" s="21" t="str">
        <f>HYPERLINK("https://psearch.kitsapgov.com/webappa/index.html?parcelID=2475523&amp;Theme=Imagery","2475523")</f>
        <v>2475523</v>
      </c>
      <c r="G804" s="16" t="s">
        <v>3810</v>
      </c>
      <c r="H804" s="17">
        <v>43469</v>
      </c>
      <c r="I804" s="18">
        <v>1000000</v>
      </c>
      <c r="J804" s="19">
        <v>1.96</v>
      </c>
      <c r="K804" s="16" t="s">
        <v>188</v>
      </c>
      <c r="L804" s="16" t="s">
        <v>38</v>
      </c>
      <c r="M804" s="16" t="s">
        <v>3811</v>
      </c>
      <c r="N804" s="16" t="s">
        <v>3786</v>
      </c>
    </row>
    <row r="805" spans="1:14" ht="20.100000000000001" customHeight="1" x14ac:dyDescent="0.25">
      <c r="A805" s="15" t="s">
        <v>3812</v>
      </c>
      <c r="B805" s="16" t="s">
        <v>143</v>
      </c>
      <c r="C805" s="15">
        <v>8401104</v>
      </c>
      <c r="D805" s="16" t="s">
        <v>144</v>
      </c>
      <c r="E805" s="15" t="s">
        <v>145</v>
      </c>
      <c r="F805" s="21" t="str">
        <f>HYPERLINK("https://psearch.kitsapgov.com/webappa/index.html?parcelID=1124957&amp;Theme=Imagery","1124957")</f>
        <v>1124957</v>
      </c>
      <c r="G805" s="16" t="s">
        <v>146</v>
      </c>
      <c r="H805" s="17">
        <v>43475</v>
      </c>
      <c r="I805" s="18">
        <v>192000</v>
      </c>
      <c r="J805" s="19">
        <v>0.73</v>
      </c>
      <c r="K805" s="16" t="s">
        <v>147</v>
      </c>
      <c r="L805" s="16" t="s">
        <v>38</v>
      </c>
      <c r="M805" s="16" t="s">
        <v>3813</v>
      </c>
      <c r="N805" s="16" t="s">
        <v>3814</v>
      </c>
    </row>
    <row r="806" spans="1:14" ht="20.100000000000001" customHeight="1" x14ac:dyDescent="0.25">
      <c r="A806" s="15" t="s">
        <v>3815</v>
      </c>
      <c r="B806" s="16" t="s">
        <v>89</v>
      </c>
      <c r="C806" s="15">
        <v>8401508</v>
      </c>
      <c r="D806" s="16" t="s">
        <v>90</v>
      </c>
      <c r="E806" s="15" t="s">
        <v>3816</v>
      </c>
      <c r="F806" s="21" t="str">
        <f>HYPERLINK("https://psearch.kitsapgov.com/webappa/index.html?parcelID=1279843&amp;Theme=Imagery","1279843")</f>
        <v>1279843</v>
      </c>
      <c r="G806" s="16" t="s">
        <v>3817</v>
      </c>
      <c r="H806" s="17">
        <v>43475</v>
      </c>
      <c r="I806" s="18">
        <v>300000</v>
      </c>
      <c r="J806" s="19">
        <v>0.41</v>
      </c>
      <c r="K806" s="16" t="s">
        <v>78</v>
      </c>
      <c r="L806" s="16" t="s">
        <v>38</v>
      </c>
      <c r="M806" s="16" t="s">
        <v>3818</v>
      </c>
      <c r="N806" s="16" t="s">
        <v>3819</v>
      </c>
    </row>
    <row r="807" spans="1:14" ht="20.100000000000001" customHeight="1" x14ac:dyDescent="0.25">
      <c r="A807" s="15" t="s">
        <v>3820</v>
      </c>
      <c r="B807" s="16" t="s">
        <v>49</v>
      </c>
      <c r="C807" s="15">
        <v>8402306</v>
      </c>
      <c r="D807" s="16" t="s">
        <v>34</v>
      </c>
      <c r="E807" s="15" t="s">
        <v>3821</v>
      </c>
      <c r="F807" s="21" t="str">
        <f>HYPERLINK("https://psearch.kitsapgov.com/webappa/index.html?parcelID=1737907&amp;Theme=Imagery","1737907")</f>
        <v>1737907</v>
      </c>
      <c r="G807" s="16" t="s">
        <v>3822</v>
      </c>
      <c r="H807" s="17">
        <v>43468</v>
      </c>
      <c r="I807" s="18">
        <v>20000</v>
      </c>
      <c r="J807" s="19">
        <v>0.08</v>
      </c>
      <c r="K807" s="16" t="s">
        <v>1597</v>
      </c>
      <c r="L807" s="16" t="s">
        <v>372</v>
      </c>
      <c r="M807" s="16" t="s">
        <v>3823</v>
      </c>
      <c r="N807" s="16" t="s">
        <v>3824</v>
      </c>
    </row>
    <row r="808" spans="1:14" ht="20.100000000000001" customHeight="1" x14ac:dyDescent="0.25">
      <c r="A808" s="15" t="s">
        <v>3825</v>
      </c>
      <c r="B808" s="16" t="s">
        <v>33</v>
      </c>
      <c r="C808" s="15">
        <v>8402306</v>
      </c>
      <c r="D808" s="16" t="s">
        <v>34</v>
      </c>
      <c r="E808" s="15" t="s">
        <v>3826</v>
      </c>
      <c r="F808" s="21" t="str">
        <f>HYPERLINK("https://psearch.kitsapgov.com/webappa/index.html?parcelID=1737931&amp;Theme=Imagery","1737931")</f>
        <v>1737931</v>
      </c>
      <c r="G808" s="16" t="s">
        <v>3827</v>
      </c>
      <c r="H808" s="17">
        <v>43467</v>
      </c>
      <c r="I808" s="18">
        <v>241320</v>
      </c>
      <c r="J808" s="19">
        <v>0.17</v>
      </c>
      <c r="K808" s="16" t="s">
        <v>1597</v>
      </c>
      <c r="L808" s="16" t="s">
        <v>372</v>
      </c>
      <c r="M808" s="16" t="s">
        <v>3823</v>
      </c>
      <c r="N808" s="16" t="s">
        <v>3824</v>
      </c>
    </row>
    <row r="809" spans="1:14" ht="20.100000000000001" customHeight="1" x14ac:dyDescent="0.25">
      <c r="A809" s="15" t="s">
        <v>3828</v>
      </c>
      <c r="B809" s="16" t="s">
        <v>407</v>
      </c>
      <c r="C809" s="15">
        <v>8401102</v>
      </c>
      <c r="D809" s="16" t="s">
        <v>766</v>
      </c>
      <c r="E809" s="15" t="s">
        <v>3829</v>
      </c>
      <c r="F809" s="21" t="str">
        <f>HYPERLINK("https://psearch.kitsapgov.com/webappa/index.html?parcelID=2636751&amp;Theme=Imagery","2636751")</f>
        <v>2636751</v>
      </c>
      <c r="G809" s="16" t="s">
        <v>3830</v>
      </c>
      <c r="H809" s="17">
        <v>43458</v>
      </c>
      <c r="I809" s="18">
        <v>100000</v>
      </c>
      <c r="J809" s="19">
        <v>0</v>
      </c>
      <c r="L809" s="16" t="s">
        <v>38</v>
      </c>
      <c r="M809" s="16" t="s">
        <v>3764</v>
      </c>
      <c r="N809" s="16" t="s">
        <v>3831</v>
      </c>
    </row>
    <row r="810" spans="1:14" ht="20.100000000000001" customHeight="1" x14ac:dyDescent="0.25">
      <c r="A810" s="15" t="s">
        <v>3832</v>
      </c>
      <c r="B810" s="16" t="s">
        <v>89</v>
      </c>
      <c r="C810" s="15">
        <v>8100510</v>
      </c>
      <c r="D810" s="16" t="s">
        <v>401</v>
      </c>
      <c r="E810" s="15" t="s">
        <v>3833</v>
      </c>
      <c r="F810" s="21" t="str">
        <f>HYPERLINK("https://psearch.kitsapgov.com/webappa/index.html?parcelID=1438456&amp;Theme=Imagery","1438456")</f>
        <v>1438456</v>
      </c>
      <c r="G810" s="16" t="s">
        <v>3834</v>
      </c>
      <c r="H810" s="17">
        <v>43479</v>
      </c>
      <c r="I810" s="18">
        <v>225000</v>
      </c>
      <c r="J810" s="19">
        <v>0.14000000000000001</v>
      </c>
      <c r="K810" s="16" t="s">
        <v>28</v>
      </c>
      <c r="L810" s="16" t="s">
        <v>38</v>
      </c>
      <c r="M810" s="16" t="s">
        <v>3835</v>
      </c>
      <c r="N810" s="16" t="s">
        <v>3836</v>
      </c>
    </row>
    <row r="811" spans="1:14" ht="20.100000000000001" customHeight="1" x14ac:dyDescent="0.25">
      <c r="A811" s="15" t="s">
        <v>3837</v>
      </c>
      <c r="B811" s="16" t="s">
        <v>49</v>
      </c>
      <c r="C811" s="15">
        <v>8401508</v>
      </c>
      <c r="D811" s="16" t="s">
        <v>90</v>
      </c>
      <c r="E811" s="15" t="s">
        <v>3838</v>
      </c>
      <c r="F811" s="21" t="str">
        <f>HYPERLINK("https://psearch.kitsapgov.com/webappa/index.html?parcelID=1278621&amp;Theme=Imagery","1278621")</f>
        <v>1278621</v>
      </c>
      <c r="G811" s="16" t="s">
        <v>3839</v>
      </c>
      <c r="H811" s="17">
        <v>43479</v>
      </c>
      <c r="I811" s="18">
        <v>310000</v>
      </c>
      <c r="J811" s="19">
        <v>0.41</v>
      </c>
      <c r="K811" s="16" t="s">
        <v>78</v>
      </c>
      <c r="L811" s="16" t="s">
        <v>38</v>
      </c>
      <c r="M811" s="16" t="s">
        <v>3840</v>
      </c>
      <c r="N811" s="16" t="s">
        <v>3841</v>
      </c>
    </row>
    <row r="812" spans="1:14" ht="20.100000000000001" customHeight="1" x14ac:dyDescent="0.25">
      <c r="A812" s="15" t="s">
        <v>3842</v>
      </c>
      <c r="B812" s="16" t="s">
        <v>89</v>
      </c>
      <c r="C812" s="15">
        <v>8100510</v>
      </c>
      <c r="D812" s="16" t="s">
        <v>401</v>
      </c>
      <c r="E812" s="15" t="s">
        <v>3843</v>
      </c>
      <c r="F812" s="21" t="str">
        <f>HYPERLINK("https://psearch.kitsapgov.com/webappa/index.html?parcelID=1438506&amp;Theme=Imagery","1438506")</f>
        <v>1438506</v>
      </c>
      <c r="G812" s="16" t="s">
        <v>3844</v>
      </c>
      <c r="H812" s="17">
        <v>43480</v>
      </c>
      <c r="I812" s="18">
        <v>185000</v>
      </c>
      <c r="J812" s="19">
        <v>0.1</v>
      </c>
      <c r="K812" s="16" t="s">
        <v>28</v>
      </c>
      <c r="L812" s="16" t="s">
        <v>38</v>
      </c>
      <c r="M812" s="16" t="s">
        <v>3845</v>
      </c>
      <c r="N812" s="16" t="s">
        <v>3846</v>
      </c>
    </row>
    <row r="813" spans="1:14" ht="20.100000000000001" customHeight="1" x14ac:dyDescent="0.25">
      <c r="A813" s="15" t="s">
        <v>3847</v>
      </c>
      <c r="B813" s="16" t="s">
        <v>347</v>
      </c>
      <c r="C813" s="15">
        <v>8100501</v>
      </c>
      <c r="D813" s="16" t="s">
        <v>117</v>
      </c>
      <c r="E813" s="15" t="s">
        <v>3848</v>
      </c>
      <c r="F813" s="21" t="str">
        <f>HYPERLINK("https://psearch.kitsapgov.com/webappa/index.html?parcelID=1427988&amp;Theme=Imagery","1427988")</f>
        <v>1427988</v>
      </c>
      <c r="G813" s="16" t="s">
        <v>3849</v>
      </c>
      <c r="H813" s="17">
        <v>43488</v>
      </c>
      <c r="I813" s="18">
        <v>150000</v>
      </c>
      <c r="J813" s="19">
        <v>0.14000000000000001</v>
      </c>
      <c r="K813" s="16" t="s">
        <v>120</v>
      </c>
      <c r="L813" s="16" t="s">
        <v>20</v>
      </c>
      <c r="M813" s="16" t="s">
        <v>3850</v>
      </c>
      <c r="N813" s="16" t="s">
        <v>3851</v>
      </c>
    </row>
    <row r="814" spans="1:14" ht="20.100000000000001" customHeight="1" x14ac:dyDescent="0.25">
      <c r="A814" s="15" t="s">
        <v>3852</v>
      </c>
      <c r="B814" s="16" t="s">
        <v>442</v>
      </c>
      <c r="C814" s="15">
        <v>8401508</v>
      </c>
      <c r="D814" s="16" t="s">
        <v>90</v>
      </c>
      <c r="E814" s="15" t="s">
        <v>3853</v>
      </c>
      <c r="F814" s="21" t="str">
        <f>HYPERLINK("https://psearch.kitsapgov.com/webappa/index.html?parcelID=1260801&amp;Theme=Imagery","1260801")</f>
        <v>1260801</v>
      </c>
      <c r="G814" s="16" t="s">
        <v>3854</v>
      </c>
      <c r="H814" s="17">
        <v>43483</v>
      </c>
      <c r="I814" s="18">
        <v>1880000</v>
      </c>
      <c r="J814" s="19">
        <v>0.46</v>
      </c>
      <c r="K814" s="16" t="s">
        <v>78</v>
      </c>
      <c r="L814" s="16" t="s">
        <v>38</v>
      </c>
      <c r="M814" s="16" t="s">
        <v>3855</v>
      </c>
      <c r="N814" s="16" t="s">
        <v>3856</v>
      </c>
    </row>
    <row r="815" spans="1:14" ht="20.100000000000001" customHeight="1" x14ac:dyDescent="0.25">
      <c r="A815" s="15" t="s">
        <v>3857</v>
      </c>
      <c r="B815" s="16" t="s">
        <v>89</v>
      </c>
      <c r="C815" s="15">
        <v>8100506</v>
      </c>
      <c r="D815" s="16" t="s">
        <v>25</v>
      </c>
      <c r="E815" s="15" t="s">
        <v>3858</v>
      </c>
      <c r="F815" s="21" t="str">
        <f>HYPERLINK("https://psearch.kitsapgov.com/webappa/index.html?parcelID=1476167&amp;Theme=Imagery","1476167")</f>
        <v>1476167</v>
      </c>
      <c r="G815" s="16" t="s">
        <v>3859</v>
      </c>
      <c r="H815" s="17">
        <v>43490</v>
      </c>
      <c r="I815" s="18">
        <v>317500</v>
      </c>
      <c r="J815" s="19">
        <v>0.09</v>
      </c>
      <c r="K815" s="16" t="s">
        <v>839</v>
      </c>
      <c r="L815" s="16" t="s">
        <v>38</v>
      </c>
      <c r="M815" s="16" t="s">
        <v>3860</v>
      </c>
      <c r="N815" s="16" t="s">
        <v>3861</v>
      </c>
    </row>
    <row r="816" spans="1:14" ht="20.100000000000001" customHeight="1" x14ac:dyDescent="0.25">
      <c r="A816" s="15" t="s">
        <v>3862</v>
      </c>
      <c r="B816" s="16" t="s">
        <v>347</v>
      </c>
      <c r="C816" s="15">
        <v>8100502</v>
      </c>
      <c r="D816" s="16" t="s">
        <v>67</v>
      </c>
      <c r="E816" s="15" t="s">
        <v>3863</v>
      </c>
      <c r="F816" s="21" t="str">
        <f>HYPERLINK("https://psearch.kitsapgov.com/webappa/index.html?parcelID=1444603&amp;Theme=Imagery","1444603")</f>
        <v>1444603</v>
      </c>
      <c r="G816" s="16" t="s">
        <v>3864</v>
      </c>
      <c r="H816" s="17">
        <v>43487</v>
      </c>
      <c r="I816" s="18">
        <v>500000</v>
      </c>
      <c r="J816" s="19">
        <v>0.34</v>
      </c>
      <c r="K816" s="16" t="s">
        <v>85</v>
      </c>
      <c r="L816" s="16" t="s">
        <v>38</v>
      </c>
      <c r="M816" s="16" t="s">
        <v>2092</v>
      </c>
      <c r="N816" s="16" t="s">
        <v>3865</v>
      </c>
    </row>
    <row r="817" spans="1:14" ht="20.100000000000001" customHeight="1" x14ac:dyDescent="0.25">
      <c r="A817" s="15" t="s">
        <v>3866</v>
      </c>
      <c r="B817" s="16" t="s">
        <v>3867</v>
      </c>
      <c r="C817" s="15">
        <v>9303611</v>
      </c>
      <c r="D817" s="16" t="s">
        <v>3868</v>
      </c>
      <c r="E817" s="15" t="s">
        <v>3869</v>
      </c>
      <c r="F817" s="21" t="str">
        <f>HYPERLINK("https://psearch.kitsapgov.com/webappa/index.html?parcelID=1536630&amp;Theme=Imagery","1536630")</f>
        <v>1536630</v>
      </c>
      <c r="G817" s="16" t="s">
        <v>3870</v>
      </c>
      <c r="H817" s="17">
        <v>43447</v>
      </c>
      <c r="I817" s="18">
        <v>500</v>
      </c>
      <c r="J817" s="19">
        <v>5.63</v>
      </c>
      <c r="K817" s="16" t="s">
        <v>3285</v>
      </c>
      <c r="L817" s="16" t="s">
        <v>542</v>
      </c>
      <c r="M817" s="16" t="s">
        <v>3871</v>
      </c>
      <c r="N817" s="16" t="s">
        <v>544</v>
      </c>
    </row>
    <row r="818" spans="1:14" ht="20.100000000000001" customHeight="1" x14ac:dyDescent="0.25">
      <c r="A818" s="15" t="s">
        <v>3872</v>
      </c>
      <c r="B818" s="16" t="s">
        <v>104</v>
      </c>
      <c r="C818" s="15">
        <v>9402422</v>
      </c>
      <c r="D818" s="16" t="s">
        <v>3873</v>
      </c>
      <c r="E818" s="15" t="s">
        <v>3874</v>
      </c>
      <c r="F818" s="21" t="str">
        <f>HYPERLINK("https://psearch.kitsapgov.com/webappa/index.html?parcelID=1681808&amp;Theme=Imagery","1681808")</f>
        <v>1681808</v>
      </c>
      <c r="G818" s="16" t="s">
        <v>107</v>
      </c>
      <c r="H818" s="17">
        <v>43493</v>
      </c>
      <c r="I818" s="18">
        <v>650000</v>
      </c>
      <c r="J818" s="19">
        <v>0.1</v>
      </c>
      <c r="K818" s="16" t="s">
        <v>2990</v>
      </c>
      <c r="L818" s="16" t="s">
        <v>38</v>
      </c>
      <c r="M818" s="16" t="s">
        <v>3875</v>
      </c>
      <c r="N818" s="16" t="s">
        <v>3876</v>
      </c>
    </row>
    <row r="819" spans="1:14" ht="20.100000000000001" customHeight="1" x14ac:dyDescent="0.25">
      <c r="A819" s="15" t="s">
        <v>3877</v>
      </c>
      <c r="B819" s="16" t="s">
        <v>57</v>
      </c>
      <c r="C819" s="15">
        <v>8400302</v>
      </c>
      <c r="D819" s="16" t="s">
        <v>133</v>
      </c>
      <c r="E819" s="15" t="s">
        <v>3878</v>
      </c>
      <c r="F819" s="21" t="str">
        <f>HYPERLINK("https://psearch.kitsapgov.com/webappa/index.html?parcelID=2631075&amp;Theme=Imagery","2631075")</f>
        <v>2631075</v>
      </c>
      <c r="G819" s="16" t="s">
        <v>1838</v>
      </c>
      <c r="H819" s="17">
        <v>43487</v>
      </c>
      <c r="I819" s="18">
        <v>113269</v>
      </c>
      <c r="J819" s="19">
        <v>0.93</v>
      </c>
      <c r="L819" s="16" t="s">
        <v>38</v>
      </c>
      <c r="M819" s="16" t="s">
        <v>3879</v>
      </c>
      <c r="N819" s="16" t="s">
        <v>3880</v>
      </c>
    </row>
    <row r="820" spans="1:14" ht="20.100000000000001" customHeight="1" x14ac:dyDescent="0.25">
      <c r="A820" s="15" t="s">
        <v>3881</v>
      </c>
      <c r="B820" s="16" t="s">
        <v>66</v>
      </c>
      <c r="C820" s="15">
        <v>8400302</v>
      </c>
      <c r="D820" s="16" t="s">
        <v>133</v>
      </c>
      <c r="E820" s="15" t="s">
        <v>3882</v>
      </c>
      <c r="F820" s="21" t="str">
        <f>HYPERLINK("https://psearch.kitsapgov.com/webappa/index.html?parcelID=2631083&amp;Theme=Imagery","2631083")</f>
        <v>2631083</v>
      </c>
      <c r="G820" s="16" t="s">
        <v>908</v>
      </c>
      <c r="H820" s="17">
        <v>43432</v>
      </c>
      <c r="I820" s="18">
        <v>490000</v>
      </c>
      <c r="J820" s="19">
        <v>1.17</v>
      </c>
      <c r="K820" s="16" t="s">
        <v>136</v>
      </c>
      <c r="L820" s="16" t="s">
        <v>38</v>
      </c>
      <c r="M820" s="16" t="s">
        <v>3879</v>
      </c>
      <c r="N820" s="16" t="s">
        <v>3883</v>
      </c>
    </row>
    <row r="821" spans="1:14" ht="20.100000000000001" customHeight="1" x14ac:dyDescent="0.25">
      <c r="A821" s="15" t="s">
        <v>3884</v>
      </c>
      <c r="B821" s="16" t="s">
        <v>318</v>
      </c>
      <c r="C821" s="15">
        <v>8402391</v>
      </c>
      <c r="D821" s="16" t="s">
        <v>227</v>
      </c>
      <c r="E821" s="15" t="s">
        <v>3885</v>
      </c>
      <c r="F821" s="21" t="str">
        <f>HYPERLINK("https://psearch.kitsapgov.com/webappa/index.html?parcelID=2455939&amp;Theme=Imagery","2455939")</f>
        <v>2455939</v>
      </c>
      <c r="G821" s="16" t="s">
        <v>3886</v>
      </c>
      <c r="H821" s="17">
        <v>43488</v>
      </c>
      <c r="I821" s="18">
        <v>56000</v>
      </c>
      <c r="J821" s="19">
        <v>0</v>
      </c>
      <c r="L821" s="16" t="s">
        <v>290</v>
      </c>
      <c r="M821" s="16" t="s">
        <v>3887</v>
      </c>
      <c r="N821" s="16" t="s">
        <v>3888</v>
      </c>
    </row>
    <row r="822" spans="1:14" ht="20.100000000000001" customHeight="1" x14ac:dyDescent="0.25">
      <c r="A822" s="15" t="s">
        <v>3889</v>
      </c>
      <c r="B822" s="16" t="s">
        <v>393</v>
      </c>
      <c r="C822" s="15">
        <v>8401103</v>
      </c>
      <c r="D822" s="16" t="s">
        <v>826</v>
      </c>
      <c r="E822" s="15" t="s">
        <v>827</v>
      </c>
      <c r="F822" s="21" t="str">
        <f>HYPERLINK("https://psearch.kitsapgov.com/webappa/index.html?parcelID=2446987&amp;Theme=Imagery","2446987")</f>
        <v>2446987</v>
      </c>
      <c r="G822" s="16" t="s">
        <v>828</v>
      </c>
      <c r="H822" s="17">
        <v>43497</v>
      </c>
      <c r="I822" s="18">
        <v>45000000</v>
      </c>
      <c r="J822" s="19">
        <v>12.56</v>
      </c>
      <c r="K822" s="16" t="s">
        <v>708</v>
      </c>
      <c r="L822" s="16" t="s">
        <v>20</v>
      </c>
      <c r="M822" s="16" t="s">
        <v>830</v>
      </c>
      <c r="N822" s="16" t="s">
        <v>3890</v>
      </c>
    </row>
    <row r="823" spans="1:14" ht="20.100000000000001" customHeight="1" x14ac:dyDescent="0.25">
      <c r="A823" s="15" t="s">
        <v>3891</v>
      </c>
      <c r="B823" s="16" t="s">
        <v>306</v>
      </c>
      <c r="C823" s="15">
        <v>8401508</v>
      </c>
      <c r="D823" s="16" t="s">
        <v>90</v>
      </c>
      <c r="E823" s="15" t="s">
        <v>3892</v>
      </c>
      <c r="F823" s="21" t="str">
        <f>HYPERLINK("https://psearch.kitsapgov.com/webappa/index.html?parcelID=2607554&amp;Theme=Imagery","2607554")</f>
        <v>2607554</v>
      </c>
      <c r="G823" s="16" t="s">
        <v>3893</v>
      </c>
      <c r="H823" s="17">
        <v>43495</v>
      </c>
      <c r="I823" s="18">
        <v>125000</v>
      </c>
      <c r="J823" s="19">
        <v>0.38</v>
      </c>
      <c r="K823" s="16" t="s">
        <v>78</v>
      </c>
      <c r="L823" s="16" t="s">
        <v>38</v>
      </c>
      <c r="M823" s="16" t="s">
        <v>3894</v>
      </c>
      <c r="N823" s="16" t="s">
        <v>3895</v>
      </c>
    </row>
    <row r="824" spans="1:14" ht="20.100000000000001" customHeight="1" x14ac:dyDescent="0.25">
      <c r="A824" s="15" t="s">
        <v>3896</v>
      </c>
      <c r="B824" s="16" t="s">
        <v>66</v>
      </c>
      <c r="C824" s="15">
        <v>8400302</v>
      </c>
      <c r="D824" s="16" t="s">
        <v>133</v>
      </c>
      <c r="E824" s="15" t="s">
        <v>3897</v>
      </c>
      <c r="F824" s="21" t="str">
        <f>HYPERLINK("https://psearch.kitsapgov.com/webappa/index.html?parcelID=2383297&amp;Theme=Imagery","2383297")</f>
        <v>2383297</v>
      </c>
      <c r="G824" s="16" t="s">
        <v>3898</v>
      </c>
      <c r="H824" s="17">
        <v>43501</v>
      </c>
      <c r="I824" s="18">
        <v>800000</v>
      </c>
      <c r="J824" s="19">
        <v>0.47</v>
      </c>
      <c r="K824" s="16" t="s">
        <v>136</v>
      </c>
      <c r="L824" s="16" t="s">
        <v>38</v>
      </c>
      <c r="M824" s="16" t="s">
        <v>3899</v>
      </c>
      <c r="N824" s="16" t="s">
        <v>3900</v>
      </c>
    </row>
    <row r="825" spans="1:14" ht="20.100000000000001" customHeight="1" x14ac:dyDescent="0.25">
      <c r="A825" s="15" t="s">
        <v>3901</v>
      </c>
      <c r="B825" s="16" t="s">
        <v>57</v>
      </c>
      <c r="C825" s="15">
        <v>8400207</v>
      </c>
      <c r="D825" s="16" t="s">
        <v>998</v>
      </c>
      <c r="E825" s="15" t="s">
        <v>3902</v>
      </c>
      <c r="F825" s="21" t="str">
        <f>HYPERLINK("https://psearch.kitsapgov.com/webappa/index.html?parcelID=2455228&amp;Theme=Imagery","2455228")</f>
        <v>2455228</v>
      </c>
      <c r="G825" s="16" t="s">
        <v>3903</v>
      </c>
      <c r="H825" s="17">
        <v>43501</v>
      </c>
      <c r="I825" s="18">
        <v>650000</v>
      </c>
      <c r="J825" s="19">
        <v>1.04</v>
      </c>
      <c r="K825" s="16" t="s">
        <v>100</v>
      </c>
      <c r="L825" s="16" t="s">
        <v>38</v>
      </c>
      <c r="M825" s="16" t="s">
        <v>3633</v>
      </c>
      <c r="N825" s="16" t="s">
        <v>3904</v>
      </c>
    </row>
    <row r="826" spans="1:14" ht="20.100000000000001" customHeight="1" x14ac:dyDescent="0.25">
      <c r="A826" s="15" t="s">
        <v>3905</v>
      </c>
      <c r="B826" s="16" t="s">
        <v>688</v>
      </c>
      <c r="C826" s="15">
        <v>8401103</v>
      </c>
      <c r="D826" s="16" t="s">
        <v>826</v>
      </c>
      <c r="E826" s="15" t="s">
        <v>3668</v>
      </c>
      <c r="F826" s="21" t="str">
        <f>HYPERLINK("https://psearch.kitsapgov.com/webappa/index.html?parcelID=2381895&amp;Theme=Imagery","2381895")</f>
        <v>2381895</v>
      </c>
      <c r="G826" s="16" t="s">
        <v>3669</v>
      </c>
      <c r="H826" s="17">
        <v>43445</v>
      </c>
      <c r="I826" s="18">
        <v>39000</v>
      </c>
      <c r="J826" s="19">
        <v>0.85</v>
      </c>
      <c r="K826" s="16" t="s">
        <v>309</v>
      </c>
      <c r="L826" s="16" t="s">
        <v>1169</v>
      </c>
      <c r="M826" s="16" t="s">
        <v>3671</v>
      </c>
      <c r="N826" s="16" t="s">
        <v>710</v>
      </c>
    </row>
    <row r="827" spans="1:14" ht="20.100000000000001" customHeight="1" x14ac:dyDescent="0.25">
      <c r="A827" s="15" t="s">
        <v>3906</v>
      </c>
      <c r="B827" s="16" t="s">
        <v>66</v>
      </c>
      <c r="C827" s="15">
        <v>8402307</v>
      </c>
      <c r="D827" s="16" t="s">
        <v>151</v>
      </c>
      <c r="E827" s="15" t="s">
        <v>3907</v>
      </c>
      <c r="F827" s="21" t="str">
        <f>HYPERLINK("https://psearch.kitsapgov.com/webappa/index.html?parcelID=2217651&amp;Theme=Imagery","2217651")</f>
        <v>2217651</v>
      </c>
      <c r="G827" s="16" t="s">
        <v>3908</v>
      </c>
      <c r="H827" s="17">
        <v>43515</v>
      </c>
      <c r="I827" s="18">
        <v>140000</v>
      </c>
      <c r="J827" s="19">
        <v>0.62</v>
      </c>
      <c r="K827" s="16" t="s">
        <v>147</v>
      </c>
      <c r="L827" s="16" t="s">
        <v>38</v>
      </c>
      <c r="M827" s="16" t="s">
        <v>3909</v>
      </c>
      <c r="N827" s="16" t="s">
        <v>1880</v>
      </c>
    </row>
    <row r="828" spans="1:14" ht="20.100000000000001" customHeight="1" x14ac:dyDescent="0.25">
      <c r="A828" s="15" t="s">
        <v>3910</v>
      </c>
      <c r="B828" s="16" t="s">
        <v>89</v>
      </c>
      <c r="C828" s="15">
        <v>8400302</v>
      </c>
      <c r="D828" s="16" t="s">
        <v>133</v>
      </c>
      <c r="E828" s="15" t="s">
        <v>3911</v>
      </c>
      <c r="F828" s="21" t="str">
        <f>HYPERLINK("https://psearch.kitsapgov.com/webappa/index.html?parcelID=2452860&amp;Theme=Imagery","2452860")</f>
        <v>2452860</v>
      </c>
      <c r="G828" s="16" t="s">
        <v>3912</v>
      </c>
      <c r="H828" s="17">
        <v>43521</v>
      </c>
      <c r="I828" s="18">
        <v>6000000</v>
      </c>
      <c r="J828" s="19">
        <v>2.16</v>
      </c>
      <c r="K828" s="16" t="s">
        <v>309</v>
      </c>
      <c r="L828" s="16" t="s">
        <v>38</v>
      </c>
      <c r="M828" s="16" t="s">
        <v>3913</v>
      </c>
      <c r="N828" s="16" t="s">
        <v>3914</v>
      </c>
    </row>
    <row r="829" spans="1:14" ht="20.100000000000001" customHeight="1" x14ac:dyDescent="0.25">
      <c r="A829" s="15" t="s">
        <v>3915</v>
      </c>
      <c r="B829" s="16" t="s">
        <v>57</v>
      </c>
      <c r="C829" s="15">
        <v>8100502</v>
      </c>
      <c r="D829" s="16" t="s">
        <v>67</v>
      </c>
      <c r="E829" s="15" t="s">
        <v>3916</v>
      </c>
      <c r="F829" s="21" t="str">
        <f>HYPERLINK("https://psearch.kitsapgov.com/webappa/index.html?parcelID=1158070&amp;Theme=Imagery","1158070")</f>
        <v>1158070</v>
      </c>
      <c r="G829" s="16" t="s">
        <v>3917</v>
      </c>
      <c r="H829" s="17">
        <v>43515</v>
      </c>
      <c r="I829" s="18">
        <v>350000</v>
      </c>
      <c r="J829" s="19">
        <v>4.1900000000000004</v>
      </c>
      <c r="K829" s="16" t="s">
        <v>70</v>
      </c>
      <c r="L829" s="16" t="s">
        <v>38</v>
      </c>
      <c r="M829" s="16" t="s">
        <v>3918</v>
      </c>
      <c r="N829" s="16" t="s">
        <v>3919</v>
      </c>
    </row>
    <row r="830" spans="1:14" ht="20.100000000000001" customHeight="1" x14ac:dyDescent="0.25">
      <c r="A830" s="15" t="s">
        <v>3920</v>
      </c>
      <c r="B830" s="16" t="s">
        <v>96</v>
      </c>
      <c r="C830" s="15">
        <v>8400207</v>
      </c>
      <c r="D830" s="16" t="s">
        <v>998</v>
      </c>
      <c r="E830" s="15" t="s">
        <v>999</v>
      </c>
      <c r="F830" s="21" t="str">
        <f>HYPERLINK("https://psearch.kitsapgov.com/webappa/index.html?parcelID=2200780&amp;Theme=Imagery","2200780")</f>
        <v>2200780</v>
      </c>
      <c r="G830" s="16" t="s">
        <v>1000</v>
      </c>
      <c r="H830" s="17">
        <v>43502</v>
      </c>
      <c r="I830" s="18">
        <v>1500</v>
      </c>
      <c r="J830" s="19">
        <v>1.43</v>
      </c>
      <c r="K830" s="16" t="s">
        <v>1001</v>
      </c>
      <c r="L830" s="16" t="s">
        <v>1169</v>
      </c>
      <c r="M830" s="16" t="s">
        <v>1364</v>
      </c>
      <c r="N830" s="16" t="s">
        <v>710</v>
      </c>
    </row>
    <row r="831" spans="1:14" ht="20.100000000000001" customHeight="1" x14ac:dyDescent="0.25">
      <c r="A831" s="15" t="s">
        <v>3921</v>
      </c>
      <c r="B831" s="16" t="s">
        <v>393</v>
      </c>
      <c r="C831" s="15">
        <v>9100591</v>
      </c>
      <c r="D831" s="16" t="s">
        <v>848</v>
      </c>
      <c r="E831" s="15" t="s">
        <v>3922</v>
      </c>
      <c r="F831" s="21" t="str">
        <f>HYPERLINK("https://psearch.kitsapgov.com/webappa/index.html?parcelID=2316875&amp;Theme=Imagery","2316875")</f>
        <v>2316875</v>
      </c>
      <c r="G831" s="16" t="s">
        <v>3923</v>
      </c>
      <c r="H831" s="17">
        <v>43523</v>
      </c>
      <c r="I831" s="18">
        <v>24000000</v>
      </c>
      <c r="J831" s="19">
        <v>6.8</v>
      </c>
      <c r="K831" s="16" t="s">
        <v>397</v>
      </c>
      <c r="L831" s="16" t="s">
        <v>38</v>
      </c>
      <c r="M831" s="16" t="s">
        <v>3924</v>
      </c>
      <c r="N831" s="16" t="s">
        <v>3925</v>
      </c>
    </row>
    <row r="832" spans="1:14" ht="20.100000000000001" customHeight="1" x14ac:dyDescent="0.25">
      <c r="A832" s="15" t="s">
        <v>3926</v>
      </c>
      <c r="B832" s="16" t="s">
        <v>89</v>
      </c>
      <c r="C832" s="15">
        <v>8400201</v>
      </c>
      <c r="D832" s="16" t="s">
        <v>941</v>
      </c>
      <c r="E832" s="15" t="s">
        <v>3927</v>
      </c>
      <c r="F832" s="21" t="str">
        <f>HYPERLINK("https://psearch.kitsapgov.com/webappa/index.html?parcelID=1550870&amp;Theme=Imagery","1550870")</f>
        <v>1550870</v>
      </c>
      <c r="G832" s="16" t="s">
        <v>3928</v>
      </c>
      <c r="H832" s="17">
        <v>43518</v>
      </c>
      <c r="I832" s="18">
        <v>775000</v>
      </c>
      <c r="J832" s="19">
        <v>0.15</v>
      </c>
      <c r="K832" s="16" t="s">
        <v>944</v>
      </c>
      <c r="L832" s="16" t="s">
        <v>38</v>
      </c>
      <c r="M832" s="16" t="s">
        <v>3929</v>
      </c>
      <c r="N832" s="16" t="s">
        <v>2526</v>
      </c>
    </row>
    <row r="833" spans="1:14" ht="20.100000000000001" customHeight="1" x14ac:dyDescent="0.25">
      <c r="A833" s="15" t="s">
        <v>3930</v>
      </c>
      <c r="B833" s="16" t="s">
        <v>286</v>
      </c>
      <c r="C833" s="15">
        <v>8400206</v>
      </c>
      <c r="D833" s="16" t="s">
        <v>287</v>
      </c>
      <c r="E833" s="15" t="s">
        <v>3931</v>
      </c>
      <c r="F833" s="21" t="str">
        <f>HYPERLINK("https://psearch.kitsapgov.com/webappa/index.html?parcelID=2071512&amp;Theme=Imagery","2071512")</f>
        <v>2071512</v>
      </c>
      <c r="G833" s="16" t="s">
        <v>1312</v>
      </c>
      <c r="H833" s="17">
        <v>43521</v>
      </c>
      <c r="I833" s="18">
        <v>20000</v>
      </c>
      <c r="J833" s="19">
        <v>0</v>
      </c>
      <c r="L833" s="16" t="s">
        <v>38</v>
      </c>
      <c r="M833" s="16" t="s">
        <v>3932</v>
      </c>
      <c r="N833" s="16" t="s">
        <v>3933</v>
      </c>
    </row>
    <row r="834" spans="1:14" ht="20.100000000000001" customHeight="1" x14ac:dyDescent="0.25">
      <c r="A834" s="15" t="s">
        <v>3934</v>
      </c>
      <c r="B834" s="16" t="s">
        <v>33</v>
      </c>
      <c r="C834" s="15">
        <v>8400201</v>
      </c>
      <c r="D834" s="16" t="s">
        <v>941</v>
      </c>
      <c r="E834" s="15" t="s">
        <v>3935</v>
      </c>
      <c r="F834" s="21" t="str">
        <f>HYPERLINK("https://psearch.kitsapgov.com/webappa/index.html?parcelID=2366854&amp;Theme=Imagery","2366854")</f>
        <v>2366854</v>
      </c>
      <c r="G834" s="16" t="s">
        <v>3936</v>
      </c>
      <c r="H834" s="17">
        <v>43517</v>
      </c>
      <c r="I834" s="18">
        <v>430000</v>
      </c>
      <c r="J834" s="19">
        <v>0.11</v>
      </c>
      <c r="K834" s="16" t="s">
        <v>944</v>
      </c>
      <c r="L834" s="16" t="s">
        <v>38</v>
      </c>
      <c r="M834" s="16" t="s">
        <v>3753</v>
      </c>
      <c r="N834" s="16" t="s">
        <v>3937</v>
      </c>
    </row>
    <row r="835" spans="1:14" ht="20.100000000000001" customHeight="1" x14ac:dyDescent="0.25">
      <c r="A835" s="15" t="s">
        <v>3938</v>
      </c>
      <c r="B835" s="16" t="s">
        <v>89</v>
      </c>
      <c r="C835" s="15">
        <v>8402305</v>
      </c>
      <c r="D835" s="16" t="s">
        <v>259</v>
      </c>
      <c r="E835" s="15" t="s">
        <v>3939</v>
      </c>
      <c r="F835" s="21" t="str">
        <f>HYPERLINK("https://psearch.kitsapgov.com/webappa/index.html?parcelID=2178671&amp;Theme=Imagery","2178671")</f>
        <v>2178671</v>
      </c>
      <c r="G835" s="16" t="s">
        <v>3940</v>
      </c>
      <c r="H835" s="17">
        <v>43516</v>
      </c>
      <c r="I835" s="18">
        <v>754000</v>
      </c>
      <c r="J835" s="19">
        <v>0.92</v>
      </c>
      <c r="K835" s="16" t="s">
        <v>309</v>
      </c>
      <c r="L835" s="16" t="s">
        <v>38</v>
      </c>
      <c r="M835" s="16" t="s">
        <v>3941</v>
      </c>
      <c r="N835" s="16" t="s">
        <v>3942</v>
      </c>
    </row>
    <row r="836" spans="1:14" ht="20.100000000000001" customHeight="1" x14ac:dyDescent="0.25">
      <c r="A836" s="15" t="s">
        <v>3943</v>
      </c>
      <c r="B836" s="16" t="s">
        <v>66</v>
      </c>
      <c r="C836" s="15">
        <v>8400202</v>
      </c>
      <c r="D836" s="16" t="s">
        <v>158</v>
      </c>
      <c r="E836" s="15" t="s">
        <v>3944</v>
      </c>
      <c r="F836" s="21" t="str">
        <f>HYPERLINK("https://psearch.kitsapgov.com/webappa/index.html?parcelID=2578326&amp;Theme=Imagery","2578326")</f>
        <v>2578326</v>
      </c>
      <c r="G836" s="16" t="s">
        <v>3945</v>
      </c>
      <c r="H836" s="17">
        <v>43521</v>
      </c>
      <c r="I836" s="18">
        <v>3450000</v>
      </c>
      <c r="J836" s="19">
        <v>2.11</v>
      </c>
      <c r="K836" s="16" t="s">
        <v>279</v>
      </c>
      <c r="L836" s="16" t="s">
        <v>38</v>
      </c>
      <c r="M836" s="16" t="s">
        <v>1940</v>
      </c>
      <c r="N836" s="16" t="s">
        <v>3946</v>
      </c>
    </row>
    <row r="837" spans="1:14" ht="20.100000000000001" customHeight="1" x14ac:dyDescent="0.25">
      <c r="A837" s="15" t="s">
        <v>3947</v>
      </c>
      <c r="B837" s="16" t="s">
        <v>66</v>
      </c>
      <c r="C837" s="15">
        <v>8402307</v>
      </c>
      <c r="D837" s="16" t="s">
        <v>151</v>
      </c>
      <c r="E837" s="15" t="s">
        <v>2576</v>
      </c>
      <c r="F837" s="21" t="str">
        <f>HYPERLINK("https://psearch.kitsapgov.com/webappa/index.html?parcelID=1040492&amp;Theme=Imagery","1040492")</f>
        <v>1040492</v>
      </c>
      <c r="G837" s="16" t="s">
        <v>2577</v>
      </c>
      <c r="H837" s="17">
        <v>43523</v>
      </c>
      <c r="I837" s="18">
        <v>2900000</v>
      </c>
      <c r="J837" s="19">
        <v>2.34</v>
      </c>
      <c r="K837" s="16" t="s">
        <v>154</v>
      </c>
      <c r="L837" s="16" t="s">
        <v>38</v>
      </c>
      <c r="M837" s="16" t="s">
        <v>3948</v>
      </c>
      <c r="N837" s="16" t="s">
        <v>3949</v>
      </c>
    </row>
    <row r="838" spans="1:14" ht="20.100000000000001" customHeight="1" x14ac:dyDescent="0.25">
      <c r="A838" s="15" t="s">
        <v>3950</v>
      </c>
      <c r="B838" s="16" t="s">
        <v>57</v>
      </c>
      <c r="C838" s="15">
        <v>9402390</v>
      </c>
      <c r="D838" s="16" t="s">
        <v>271</v>
      </c>
      <c r="E838" s="15" t="s">
        <v>3951</v>
      </c>
      <c r="F838" s="21" t="str">
        <f>HYPERLINK("https://psearch.kitsapgov.com/webappa/index.html?parcelID=1049154&amp;Theme=Imagery","1049154")</f>
        <v>1049154</v>
      </c>
      <c r="G838" s="16" t="s">
        <v>3952</v>
      </c>
      <c r="H838" s="17">
        <v>43536</v>
      </c>
      <c r="I838" s="18">
        <v>38321</v>
      </c>
      <c r="J838" s="19">
        <v>4.58</v>
      </c>
      <c r="K838" s="16" t="s">
        <v>154</v>
      </c>
      <c r="L838" s="16" t="s">
        <v>246</v>
      </c>
      <c r="M838" s="16" t="s">
        <v>3953</v>
      </c>
      <c r="N838" s="16" t="s">
        <v>3954</v>
      </c>
    </row>
    <row r="839" spans="1:14" ht="20.100000000000001" customHeight="1" x14ac:dyDescent="0.25">
      <c r="A839" s="15" t="s">
        <v>3955</v>
      </c>
      <c r="B839" s="16" t="s">
        <v>89</v>
      </c>
      <c r="C839" s="15">
        <v>8100510</v>
      </c>
      <c r="D839" s="16" t="s">
        <v>401</v>
      </c>
      <c r="E839" s="15" t="s">
        <v>3956</v>
      </c>
      <c r="F839" s="21" t="str">
        <f>HYPERLINK("https://psearch.kitsapgov.com/webappa/index.html?parcelID=1438423&amp;Theme=Imagery","1438423")</f>
        <v>1438423</v>
      </c>
      <c r="G839" s="16" t="s">
        <v>3957</v>
      </c>
      <c r="H839" s="17">
        <v>43542</v>
      </c>
      <c r="I839" s="18">
        <v>230000</v>
      </c>
      <c r="J839" s="19">
        <v>0.21</v>
      </c>
      <c r="K839" s="16" t="s">
        <v>28</v>
      </c>
      <c r="L839" s="16" t="s">
        <v>38</v>
      </c>
      <c r="M839" s="16" t="s">
        <v>3958</v>
      </c>
      <c r="N839" s="16" t="s">
        <v>3959</v>
      </c>
    </row>
    <row r="840" spans="1:14" ht="20.100000000000001" customHeight="1" x14ac:dyDescent="0.25">
      <c r="A840" s="15" t="s">
        <v>3960</v>
      </c>
      <c r="B840" s="16" t="s">
        <v>164</v>
      </c>
      <c r="C840" s="15">
        <v>8303601</v>
      </c>
      <c r="D840" s="16" t="s">
        <v>50</v>
      </c>
      <c r="E840" s="15" t="s">
        <v>3961</v>
      </c>
      <c r="F840" s="21" t="str">
        <f>HYPERLINK("https://psearch.kitsapgov.com/webappa/index.html?parcelID=1885573&amp;Theme=Imagery","1885573")</f>
        <v>1885573</v>
      </c>
      <c r="G840" s="16" t="s">
        <v>3962</v>
      </c>
      <c r="H840" s="17">
        <v>43542</v>
      </c>
      <c r="I840" s="18">
        <v>285000</v>
      </c>
      <c r="J840" s="19">
        <v>0</v>
      </c>
      <c r="L840" s="16" t="s">
        <v>38</v>
      </c>
      <c r="M840" s="16" t="s">
        <v>3424</v>
      </c>
      <c r="N840" s="16" t="s">
        <v>3963</v>
      </c>
    </row>
    <row r="841" spans="1:14" ht="20.100000000000001" customHeight="1" x14ac:dyDescent="0.25">
      <c r="A841" s="15" t="s">
        <v>3964</v>
      </c>
      <c r="B841" s="16" t="s">
        <v>104</v>
      </c>
      <c r="C841" s="15">
        <v>8400204</v>
      </c>
      <c r="D841" s="16" t="s">
        <v>178</v>
      </c>
      <c r="E841" s="15" t="s">
        <v>3965</v>
      </c>
      <c r="F841" s="21" t="str">
        <f>HYPERLINK("https://psearch.kitsapgov.com/webappa/index.html?parcelID=1609304&amp;Theme=Imagery","1609304")</f>
        <v>1609304</v>
      </c>
      <c r="G841" s="16" t="s">
        <v>3966</v>
      </c>
      <c r="H841" s="17">
        <v>43542</v>
      </c>
      <c r="I841" s="18">
        <v>322500</v>
      </c>
      <c r="J841" s="19">
        <v>0.1</v>
      </c>
      <c r="K841" s="16" t="s">
        <v>1950</v>
      </c>
      <c r="L841" s="16" t="s">
        <v>38</v>
      </c>
      <c r="M841" s="16" t="s">
        <v>3967</v>
      </c>
      <c r="N841" s="16" t="s">
        <v>3968</v>
      </c>
    </row>
    <row r="842" spans="1:14" ht="20.100000000000001" customHeight="1" x14ac:dyDescent="0.25">
      <c r="A842" s="15" t="s">
        <v>3969</v>
      </c>
      <c r="B842" s="16" t="s">
        <v>688</v>
      </c>
      <c r="C842" s="15">
        <v>8100506</v>
      </c>
      <c r="D842" s="16" t="s">
        <v>25</v>
      </c>
      <c r="E842" s="15" t="s">
        <v>3970</v>
      </c>
      <c r="F842" s="21" t="str">
        <f>HYPERLINK("https://psearch.kitsapgov.com/webappa/index.html?parcelID=1910793&amp;Theme=Imagery","1910793")</f>
        <v>1910793</v>
      </c>
      <c r="G842" s="16" t="s">
        <v>3971</v>
      </c>
      <c r="H842" s="17">
        <v>43549</v>
      </c>
      <c r="I842" s="18">
        <v>350000</v>
      </c>
      <c r="J842" s="19">
        <v>0.36</v>
      </c>
      <c r="K842" s="16" t="s">
        <v>85</v>
      </c>
      <c r="L842" s="16" t="s">
        <v>38</v>
      </c>
      <c r="M842" s="16" t="s">
        <v>3972</v>
      </c>
      <c r="N842" s="16" t="s">
        <v>3973</v>
      </c>
    </row>
    <row r="843" spans="1:14" ht="20.100000000000001" customHeight="1" x14ac:dyDescent="0.25">
      <c r="A843" s="15" t="s">
        <v>3974</v>
      </c>
      <c r="B843" s="16" t="s">
        <v>286</v>
      </c>
      <c r="C843" s="15">
        <v>8400206</v>
      </c>
      <c r="D843" s="16" t="s">
        <v>287</v>
      </c>
      <c r="E843" s="15" t="s">
        <v>1451</v>
      </c>
      <c r="F843" s="21" t="str">
        <f>HYPERLINK("https://psearch.kitsapgov.com/webappa/index.html?parcelID=2260974&amp;Theme=Imagery","2260974")</f>
        <v>2260974</v>
      </c>
      <c r="G843" s="16" t="s">
        <v>1452</v>
      </c>
      <c r="H843" s="17">
        <v>43549</v>
      </c>
      <c r="I843" s="18">
        <v>87500</v>
      </c>
      <c r="J843" s="19">
        <v>0</v>
      </c>
      <c r="L843" s="16" t="s">
        <v>38</v>
      </c>
      <c r="M843" s="16" t="s">
        <v>3975</v>
      </c>
      <c r="N843" s="16" t="s">
        <v>3976</v>
      </c>
    </row>
    <row r="844" spans="1:14" ht="20.100000000000001" customHeight="1" x14ac:dyDescent="0.25">
      <c r="A844" s="15" t="s">
        <v>3977</v>
      </c>
      <c r="B844" s="16" t="s">
        <v>89</v>
      </c>
      <c r="C844" s="15">
        <v>8400201</v>
      </c>
      <c r="D844" s="16" t="s">
        <v>941</v>
      </c>
      <c r="E844" s="15" t="s">
        <v>3978</v>
      </c>
      <c r="F844" s="21" t="str">
        <f>HYPERLINK("https://psearch.kitsapgov.com/webappa/index.html?parcelID=1550953&amp;Theme=Imagery","1550953")</f>
        <v>1550953</v>
      </c>
      <c r="G844" s="16" t="s">
        <v>3979</v>
      </c>
      <c r="H844" s="17">
        <v>43549</v>
      </c>
      <c r="I844" s="18">
        <v>400000</v>
      </c>
      <c r="J844" s="19">
        <v>0.05</v>
      </c>
      <c r="K844" s="16" t="s">
        <v>944</v>
      </c>
      <c r="L844" s="16" t="s">
        <v>20</v>
      </c>
      <c r="M844" s="16" t="s">
        <v>3980</v>
      </c>
      <c r="N844" s="16" t="s">
        <v>2856</v>
      </c>
    </row>
    <row r="845" spans="1:14" ht="20.100000000000001" customHeight="1" x14ac:dyDescent="0.25">
      <c r="A845" s="15" t="s">
        <v>3981</v>
      </c>
      <c r="B845" s="16" t="s">
        <v>49</v>
      </c>
      <c r="C845" s="15">
        <v>9401592</v>
      </c>
      <c r="D845" s="16" t="s">
        <v>705</v>
      </c>
      <c r="E845" s="15" t="s">
        <v>3982</v>
      </c>
      <c r="F845" s="21" t="str">
        <f>HYPERLINK("https://psearch.kitsapgov.com/webappa/index.html?parcelID=1254119&amp;Theme=Imagery","1254119")</f>
        <v>1254119</v>
      </c>
      <c r="G845" s="16" t="s">
        <v>3983</v>
      </c>
      <c r="H845" s="17">
        <v>43551</v>
      </c>
      <c r="I845" s="18">
        <v>320000</v>
      </c>
      <c r="J845" s="19">
        <v>1.76</v>
      </c>
      <c r="K845" s="16" t="s">
        <v>78</v>
      </c>
      <c r="L845" s="16" t="s">
        <v>38</v>
      </c>
      <c r="M845" s="16" t="s">
        <v>3984</v>
      </c>
      <c r="N845" s="16" t="s">
        <v>3985</v>
      </c>
    </row>
    <row r="846" spans="1:14" ht="20.100000000000001" customHeight="1" x14ac:dyDescent="0.25">
      <c r="A846" s="15" t="s">
        <v>3986</v>
      </c>
      <c r="B846" s="16" t="s">
        <v>318</v>
      </c>
      <c r="C846" s="15">
        <v>8402391</v>
      </c>
      <c r="D846" s="16" t="s">
        <v>227</v>
      </c>
      <c r="E846" s="15" t="s">
        <v>2666</v>
      </c>
      <c r="F846" s="21" t="str">
        <f>HYPERLINK("https://psearch.kitsapgov.com/webappa/index.html?parcelID=2413854&amp;Theme=Imagery","2413854")</f>
        <v>2413854</v>
      </c>
      <c r="G846" s="16" t="s">
        <v>2667</v>
      </c>
      <c r="H846" s="17">
        <v>43517</v>
      </c>
      <c r="I846" s="18">
        <v>42000</v>
      </c>
      <c r="J846" s="19">
        <v>0</v>
      </c>
      <c r="L846" s="16" t="s">
        <v>20</v>
      </c>
      <c r="M846" s="16" t="s">
        <v>2669</v>
      </c>
      <c r="N846" s="16" t="s">
        <v>3280</v>
      </c>
    </row>
    <row r="847" spans="1:14" ht="20.100000000000001" customHeight="1" x14ac:dyDescent="0.25">
      <c r="A847" s="15" t="s">
        <v>3987</v>
      </c>
      <c r="B847" s="16" t="s">
        <v>66</v>
      </c>
      <c r="C847" s="15">
        <v>8100506</v>
      </c>
      <c r="D847" s="16" t="s">
        <v>25</v>
      </c>
      <c r="E847" s="15" t="s">
        <v>3988</v>
      </c>
      <c r="F847" s="21" t="str">
        <f>HYPERLINK("https://psearch.kitsapgov.com/webappa/index.html?parcelID=2638500&amp;Theme=Imagery","2638500")</f>
        <v>2638500</v>
      </c>
      <c r="G847" s="16" t="s">
        <v>3989</v>
      </c>
      <c r="H847" s="17">
        <v>43556</v>
      </c>
      <c r="I847" s="18">
        <v>1400000</v>
      </c>
      <c r="J847" s="19">
        <v>0.95</v>
      </c>
      <c r="K847" s="16" t="s">
        <v>28</v>
      </c>
      <c r="L847" s="16" t="s">
        <v>38</v>
      </c>
      <c r="M847" s="16" t="s">
        <v>1928</v>
      </c>
      <c r="N847" s="16" t="s">
        <v>3990</v>
      </c>
    </row>
    <row r="848" spans="1:14" ht="20.100000000000001" customHeight="1" x14ac:dyDescent="0.25">
      <c r="A848" s="15" t="s">
        <v>3991</v>
      </c>
      <c r="B848" s="16" t="s">
        <v>286</v>
      </c>
      <c r="C848" s="15">
        <v>8400206</v>
      </c>
      <c r="D848" s="16" t="s">
        <v>287</v>
      </c>
      <c r="E848" s="15" t="s">
        <v>3992</v>
      </c>
      <c r="F848" s="21" t="str">
        <f>HYPERLINK("https://psearch.kitsapgov.com/webappa/index.html?parcelID=2071850&amp;Theme=Imagery","2071850")</f>
        <v>2071850</v>
      </c>
      <c r="G848" s="16" t="s">
        <v>609</v>
      </c>
      <c r="H848" s="17">
        <v>43556</v>
      </c>
      <c r="I848" s="18">
        <v>12000</v>
      </c>
      <c r="J848" s="19">
        <v>0</v>
      </c>
      <c r="L848" s="16" t="s">
        <v>38</v>
      </c>
      <c r="M848" s="16" t="s">
        <v>3993</v>
      </c>
      <c r="N848" s="16" t="s">
        <v>3994</v>
      </c>
    </row>
    <row r="849" spans="1:14" ht="20.100000000000001" customHeight="1" x14ac:dyDescent="0.25">
      <c r="A849" s="15" t="s">
        <v>3995</v>
      </c>
      <c r="B849" s="16" t="s">
        <v>393</v>
      </c>
      <c r="C849" s="15">
        <v>9400203</v>
      </c>
      <c r="D849" s="16" t="s">
        <v>42</v>
      </c>
      <c r="E849" s="15" t="s">
        <v>3996</v>
      </c>
      <c r="F849" s="21" t="str">
        <f>HYPERLINK("https://psearch.kitsapgov.com/webappa/index.html?parcelID=2456812&amp;Theme=Imagery","2456812")</f>
        <v>2456812</v>
      </c>
      <c r="G849" s="16" t="s">
        <v>3997</v>
      </c>
      <c r="H849" s="17">
        <v>43565</v>
      </c>
      <c r="I849" s="18">
        <v>18500000</v>
      </c>
      <c r="J849" s="19">
        <v>5.9</v>
      </c>
      <c r="K849" s="16" t="s">
        <v>3785</v>
      </c>
      <c r="L849" s="16" t="s">
        <v>856</v>
      </c>
      <c r="M849" s="16" t="s">
        <v>3998</v>
      </c>
      <c r="N849" s="16" t="s">
        <v>3999</v>
      </c>
    </row>
    <row r="850" spans="1:14" ht="20.100000000000001" customHeight="1" x14ac:dyDescent="0.25">
      <c r="A850" s="15" t="s">
        <v>4000</v>
      </c>
      <c r="B850" s="16" t="s">
        <v>57</v>
      </c>
      <c r="C850" s="15">
        <v>8303601</v>
      </c>
      <c r="D850" s="16" t="s">
        <v>50</v>
      </c>
      <c r="E850" s="15" t="s">
        <v>4001</v>
      </c>
      <c r="F850" s="21" t="str">
        <f>HYPERLINK("https://psearch.kitsapgov.com/webappa/index.html?parcelID=2510220&amp;Theme=Imagery","2510220")</f>
        <v>2510220</v>
      </c>
      <c r="G850" s="16" t="s">
        <v>4002</v>
      </c>
      <c r="H850" s="17">
        <v>43511</v>
      </c>
      <c r="I850" s="18">
        <v>7680</v>
      </c>
      <c r="J850" s="19">
        <v>1.38</v>
      </c>
      <c r="K850" s="16" t="s">
        <v>53</v>
      </c>
      <c r="L850" s="16" t="s">
        <v>1169</v>
      </c>
      <c r="M850" s="16" t="s">
        <v>499</v>
      </c>
      <c r="N850" s="16" t="s">
        <v>1334</v>
      </c>
    </row>
    <row r="851" spans="1:14" ht="20.100000000000001" customHeight="1" x14ac:dyDescent="0.25">
      <c r="A851" s="15" t="s">
        <v>4003</v>
      </c>
      <c r="B851" s="16" t="s">
        <v>33</v>
      </c>
      <c r="C851" s="15">
        <v>8400202</v>
      </c>
      <c r="D851" s="16" t="s">
        <v>158</v>
      </c>
      <c r="E851" s="15" t="s">
        <v>4004</v>
      </c>
      <c r="F851" s="21" t="str">
        <f>HYPERLINK("https://psearch.kitsapgov.com/webappa/index.html?parcelID=1333764&amp;Theme=Imagery","1333764")</f>
        <v>1333764</v>
      </c>
      <c r="G851" s="16" t="s">
        <v>4005</v>
      </c>
      <c r="H851" s="17">
        <v>43564</v>
      </c>
      <c r="I851" s="18">
        <v>1050000</v>
      </c>
      <c r="J851" s="19">
        <v>0.84</v>
      </c>
      <c r="K851" s="16" t="s">
        <v>100</v>
      </c>
      <c r="L851" s="16" t="s">
        <v>38</v>
      </c>
      <c r="M851" s="16" t="s">
        <v>4006</v>
      </c>
      <c r="N851" s="16" t="s">
        <v>4007</v>
      </c>
    </row>
    <row r="852" spans="1:14" ht="20.100000000000001" customHeight="1" x14ac:dyDescent="0.25">
      <c r="A852" s="15" t="s">
        <v>4008</v>
      </c>
      <c r="B852" s="16" t="s">
        <v>688</v>
      </c>
      <c r="C852" s="15">
        <v>8402307</v>
      </c>
      <c r="D852" s="16" t="s">
        <v>151</v>
      </c>
      <c r="E852" s="15" t="s">
        <v>4009</v>
      </c>
      <c r="F852" s="21" t="str">
        <f>HYPERLINK("https://psearch.kitsapgov.com/webappa/index.html?parcelID=2215135&amp;Theme=Imagery","2215135")</f>
        <v>2215135</v>
      </c>
      <c r="G852" s="16" t="s">
        <v>4010</v>
      </c>
      <c r="H852" s="17">
        <v>43576</v>
      </c>
      <c r="I852" s="18">
        <v>3200000</v>
      </c>
      <c r="J852" s="19">
        <v>0.82</v>
      </c>
      <c r="K852" s="16" t="s">
        <v>154</v>
      </c>
      <c r="L852" s="16" t="s">
        <v>20</v>
      </c>
      <c r="M852" s="16" t="s">
        <v>4011</v>
      </c>
      <c r="N852" s="16" t="s">
        <v>4012</v>
      </c>
    </row>
    <row r="853" spans="1:14" ht="20.100000000000001" customHeight="1" x14ac:dyDescent="0.25">
      <c r="A853" s="15" t="s">
        <v>4013</v>
      </c>
      <c r="B853" s="16" t="s">
        <v>368</v>
      </c>
      <c r="C853" s="15">
        <v>8100505</v>
      </c>
      <c r="D853" s="16" t="s">
        <v>17</v>
      </c>
      <c r="E853" s="15" t="s">
        <v>4014</v>
      </c>
      <c r="F853" s="21" t="str">
        <f>HYPERLINK("https://psearch.kitsapgov.com/webappa/index.html?parcelID=2239093&amp;Theme=Imagery","2239093")</f>
        <v>2239093</v>
      </c>
      <c r="G853" s="16" t="s">
        <v>4015</v>
      </c>
      <c r="H853" s="17">
        <v>43577</v>
      </c>
      <c r="I853" s="18">
        <v>350000</v>
      </c>
      <c r="J853" s="19">
        <v>0.4</v>
      </c>
      <c r="K853" s="16" t="s">
        <v>457</v>
      </c>
      <c r="L853" s="16" t="s">
        <v>38</v>
      </c>
      <c r="M853" s="16" t="s">
        <v>1345</v>
      </c>
      <c r="N853" s="16" t="s">
        <v>4016</v>
      </c>
    </row>
    <row r="854" spans="1:14" ht="20.100000000000001" customHeight="1" x14ac:dyDescent="0.25">
      <c r="A854" s="15" t="s">
        <v>4017</v>
      </c>
      <c r="B854" s="16" t="s">
        <v>57</v>
      </c>
      <c r="C854" s="15">
        <v>8401104</v>
      </c>
      <c r="D854" s="16" t="s">
        <v>144</v>
      </c>
      <c r="E854" s="15" t="s">
        <v>4018</v>
      </c>
      <c r="F854" s="21" t="str">
        <f>HYPERLINK("https://psearch.kitsapgov.com/webappa/index.html?parcelID=1978253&amp;Theme=Imagery","1978253")</f>
        <v>1978253</v>
      </c>
      <c r="G854" s="16" t="s">
        <v>4019</v>
      </c>
      <c r="H854" s="17">
        <v>43579</v>
      </c>
      <c r="I854" s="18">
        <v>130000</v>
      </c>
      <c r="J854" s="19">
        <v>2.79</v>
      </c>
      <c r="K854" s="16" t="s">
        <v>61</v>
      </c>
      <c r="L854" s="16" t="s">
        <v>168</v>
      </c>
      <c r="M854" s="16" t="s">
        <v>4020</v>
      </c>
      <c r="N854" s="16" t="s">
        <v>4021</v>
      </c>
    </row>
    <row r="855" spans="1:14" ht="20.100000000000001" customHeight="1" x14ac:dyDescent="0.25">
      <c r="A855" s="15" t="s">
        <v>4022</v>
      </c>
      <c r="B855" s="16" t="s">
        <v>358</v>
      </c>
      <c r="C855" s="15">
        <v>8401103</v>
      </c>
      <c r="D855" s="16" t="s">
        <v>826</v>
      </c>
      <c r="E855" s="15" t="s">
        <v>4023</v>
      </c>
      <c r="F855" s="21" t="str">
        <f>HYPERLINK("https://psearch.kitsapgov.com/webappa/index.html?parcelID=2026060&amp;Theme=Imagery","2026060")</f>
        <v>2026060</v>
      </c>
      <c r="G855" s="16" t="s">
        <v>4024</v>
      </c>
      <c r="H855" s="17">
        <v>43570</v>
      </c>
      <c r="I855" s="18">
        <v>66000</v>
      </c>
      <c r="J855" s="19">
        <v>6.08</v>
      </c>
      <c r="K855" s="16" t="s">
        <v>309</v>
      </c>
      <c r="L855" s="16" t="s">
        <v>1169</v>
      </c>
      <c r="M855" s="16" t="s">
        <v>4025</v>
      </c>
      <c r="N855" s="16" t="s">
        <v>710</v>
      </c>
    </row>
    <row r="856" spans="1:14" ht="20.100000000000001" customHeight="1" x14ac:dyDescent="0.25">
      <c r="A856" s="15" t="s">
        <v>4026</v>
      </c>
      <c r="B856" s="16" t="s">
        <v>96</v>
      </c>
      <c r="C856" s="15">
        <v>8401103</v>
      </c>
      <c r="D856" s="16" t="s">
        <v>826</v>
      </c>
      <c r="E856" s="15" t="s">
        <v>4027</v>
      </c>
      <c r="F856" s="21" t="str">
        <f>HYPERLINK("https://psearch.kitsapgov.com/webappa/index.html?parcelID=2337236&amp;Theme=Imagery","2337236")</f>
        <v>2337236</v>
      </c>
      <c r="G856" s="16" t="s">
        <v>4028</v>
      </c>
      <c r="H856" s="17">
        <v>43577</v>
      </c>
      <c r="I856" s="18">
        <v>1800000</v>
      </c>
      <c r="J856" s="19">
        <v>0.66</v>
      </c>
      <c r="K856" s="16" t="s">
        <v>188</v>
      </c>
      <c r="L856" s="16" t="s">
        <v>20</v>
      </c>
      <c r="M856" s="16" t="s">
        <v>4029</v>
      </c>
      <c r="N856" s="16" t="s">
        <v>4030</v>
      </c>
    </row>
    <row r="857" spans="1:14" ht="20.100000000000001" customHeight="1" x14ac:dyDescent="0.25">
      <c r="A857" s="15" t="s">
        <v>4031</v>
      </c>
      <c r="B857" s="16" t="s">
        <v>57</v>
      </c>
      <c r="C857" s="15">
        <v>8401508</v>
      </c>
      <c r="D857" s="16" t="s">
        <v>90</v>
      </c>
      <c r="E857" s="15" t="s">
        <v>4032</v>
      </c>
      <c r="F857" s="21" t="str">
        <f>HYPERLINK("https://psearch.kitsapgov.com/webappa/index.html?parcelID=1263367&amp;Theme=Imagery","1263367")</f>
        <v>1263367</v>
      </c>
      <c r="G857" s="16" t="s">
        <v>4033</v>
      </c>
      <c r="H857" s="17">
        <v>43566</v>
      </c>
      <c r="I857" s="18">
        <v>1000000</v>
      </c>
      <c r="J857" s="19">
        <v>9.5299999999999994</v>
      </c>
      <c r="K857" s="16" t="s">
        <v>78</v>
      </c>
      <c r="L857" s="16" t="s">
        <v>372</v>
      </c>
      <c r="M857" s="16" t="s">
        <v>4034</v>
      </c>
      <c r="N857" s="16" t="s">
        <v>1928</v>
      </c>
    </row>
    <row r="858" spans="1:14" ht="20.100000000000001" customHeight="1" x14ac:dyDescent="0.25">
      <c r="A858" s="15" t="s">
        <v>4035</v>
      </c>
      <c r="B858" s="16" t="s">
        <v>57</v>
      </c>
      <c r="C858" s="15">
        <v>8401508</v>
      </c>
      <c r="D858" s="16" t="s">
        <v>90</v>
      </c>
      <c r="E858" s="15" t="s">
        <v>4032</v>
      </c>
      <c r="F858" s="21" t="str">
        <f>HYPERLINK("https://psearch.kitsapgov.com/webappa/index.html?parcelID=1263367&amp;Theme=Imagery","1263367")</f>
        <v>1263367</v>
      </c>
      <c r="G858" s="16" t="s">
        <v>4033</v>
      </c>
      <c r="H858" s="17">
        <v>43566</v>
      </c>
      <c r="I858" s="18">
        <v>1550000</v>
      </c>
      <c r="J858" s="19">
        <v>9.5299999999999994</v>
      </c>
      <c r="K858" s="16" t="s">
        <v>78</v>
      </c>
      <c r="L858" s="16" t="s">
        <v>20</v>
      </c>
      <c r="M858" s="16" t="s">
        <v>1928</v>
      </c>
      <c r="N858" s="16" t="s">
        <v>4036</v>
      </c>
    </row>
    <row r="859" spans="1:14" ht="20.100000000000001" customHeight="1" x14ac:dyDescent="0.25">
      <c r="A859" s="15" t="s">
        <v>4037</v>
      </c>
      <c r="B859" s="16" t="s">
        <v>628</v>
      </c>
      <c r="C859" s="15">
        <v>9100541</v>
      </c>
      <c r="D859" s="16" t="s">
        <v>215</v>
      </c>
      <c r="E859" s="15" t="s">
        <v>4038</v>
      </c>
      <c r="F859" s="21" t="str">
        <f>HYPERLINK("https://psearch.kitsapgov.com/webappa/index.html?parcelID=1463702&amp;Theme=Imagery","1463702")</f>
        <v>1463702</v>
      </c>
      <c r="G859" s="16" t="s">
        <v>4039</v>
      </c>
      <c r="H859" s="17">
        <v>43580</v>
      </c>
      <c r="I859" s="18">
        <v>415000</v>
      </c>
      <c r="J859" s="19">
        <v>0.54</v>
      </c>
      <c r="K859" s="16" t="s">
        <v>235</v>
      </c>
      <c r="L859" s="16" t="s">
        <v>20</v>
      </c>
      <c r="M859" s="16" t="s">
        <v>4040</v>
      </c>
      <c r="N859" s="16" t="s">
        <v>4041</v>
      </c>
    </row>
    <row r="860" spans="1:14" ht="20.100000000000001" customHeight="1" x14ac:dyDescent="0.25">
      <c r="A860" s="15" t="s">
        <v>4042</v>
      </c>
      <c r="B860" s="16" t="s">
        <v>96</v>
      </c>
      <c r="C860" s="15">
        <v>8401101</v>
      </c>
      <c r="D860" s="16" t="s">
        <v>185</v>
      </c>
      <c r="E860" s="15" t="s">
        <v>4043</v>
      </c>
      <c r="F860" s="21" t="str">
        <f>HYPERLINK("https://psearch.kitsapgov.com/webappa/index.html?parcelID=2026847&amp;Theme=Imagery","2026847")</f>
        <v>2026847</v>
      </c>
      <c r="G860" s="16" t="s">
        <v>4044</v>
      </c>
      <c r="H860" s="17">
        <v>43572</v>
      </c>
      <c r="I860" s="18">
        <v>1300000</v>
      </c>
      <c r="J860" s="19">
        <v>0.47</v>
      </c>
      <c r="K860" s="16" t="s">
        <v>188</v>
      </c>
      <c r="L860" s="16" t="s">
        <v>38</v>
      </c>
      <c r="M860" s="16" t="s">
        <v>4045</v>
      </c>
      <c r="N860" s="16" t="s">
        <v>4046</v>
      </c>
    </row>
    <row r="861" spans="1:14" ht="20.100000000000001" customHeight="1" x14ac:dyDescent="0.25">
      <c r="A861" s="15" t="s">
        <v>4047</v>
      </c>
      <c r="B861" s="16" t="s">
        <v>407</v>
      </c>
      <c r="C861" s="15">
        <v>8400202</v>
      </c>
      <c r="D861" s="16" t="s">
        <v>158</v>
      </c>
      <c r="E861" s="15" t="s">
        <v>4048</v>
      </c>
      <c r="F861" s="21" t="str">
        <f>HYPERLINK("https://psearch.kitsapgov.com/webappa/index.html?parcelID=2506004&amp;Theme=Imagery","2506004")</f>
        <v>2506004</v>
      </c>
      <c r="G861" s="16" t="s">
        <v>4049</v>
      </c>
      <c r="H861" s="17">
        <v>43528</v>
      </c>
      <c r="I861" s="18">
        <v>375000</v>
      </c>
      <c r="J861" s="19">
        <v>0</v>
      </c>
      <c r="L861" s="16" t="s">
        <v>20</v>
      </c>
      <c r="M861" s="16" t="s">
        <v>4050</v>
      </c>
      <c r="N861" s="16" t="s">
        <v>4051</v>
      </c>
    </row>
    <row r="862" spans="1:14" ht="20.100000000000001" customHeight="1" x14ac:dyDescent="0.25">
      <c r="A862" s="15" t="s">
        <v>4052</v>
      </c>
      <c r="B862" s="16" t="s">
        <v>66</v>
      </c>
      <c r="C862" s="15">
        <v>8401104</v>
      </c>
      <c r="D862" s="16" t="s">
        <v>144</v>
      </c>
      <c r="E862" s="15" t="s">
        <v>4053</v>
      </c>
      <c r="F862" s="21" t="str">
        <f>HYPERLINK("https://psearch.kitsapgov.com/webappa/index.html?parcelID=1241322&amp;Theme=Imagery","1241322")</f>
        <v>1241322</v>
      </c>
      <c r="G862" s="16" t="s">
        <v>4054</v>
      </c>
      <c r="H862" s="17">
        <v>43581</v>
      </c>
      <c r="I862" s="18">
        <v>534000</v>
      </c>
      <c r="J862" s="19">
        <v>1.02</v>
      </c>
      <c r="K862" s="16" t="s">
        <v>78</v>
      </c>
      <c r="L862" s="16" t="s">
        <v>38</v>
      </c>
      <c r="M862" s="16" t="s">
        <v>4055</v>
      </c>
      <c r="N862" s="16" t="s">
        <v>3583</v>
      </c>
    </row>
    <row r="863" spans="1:14" ht="20.100000000000001" customHeight="1" x14ac:dyDescent="0.25">
      <c r="A863" s="15" t="s">
        <v>4056</v>
      </c>
      <c r="B863" s="16" t="s">
        <v>239</v>
      </c>
      <c r="C863" s="15">
        <v>8402403</v>
      </c>
      <c r="D863" s="16" t="s">
        <v>165</v>
      </c>
      <c r="E863" s="15" t="s">
        <v>4057</v>
      </c>
      <c r="F863" s="21" t="str">
        <f>HYPERLINK("https://psearch.kitsapgov.com/webappa/index.html?parcelID=1201045&amp;Theme=Imagery","1201045")</f>
        <v>1201045</v>
      </c>
      <c r="G863" s="16" t="s">
        <v>4058</v>
      </c>
      <c r="H863" s="17">
        <v>43586</v>
      </c>
      <c r="I863" s="18">
        <v>500000</v>
      </c>
      <c r="J863" s="19">
        <v>0.15</v>
      </c>
      <c r="K863" s="16" t="s">
        <v>4059</v>
      </c>
      <c r="L863" s="16" t="s">
        <v>38</v>
      </c>
      <c r="M863" s="16" t="s">
        <v>4060</v>
      </c>
      <c r="N863" s="16" t="s">
        <v>4061</v>
      </c>
    </row>
    <row r="864" spans="1:14" ht="20.100000000000001" customHeight="1" x14ac:dyDescent="0.25">
      <c r="A864" s="15" t="s">
        <v>4062</v>
      </c>
      <c r="B864" s="16" t="s">
        <v>407</v>
      </c>
      <c r="C864" s="15">
        <v>8401102</v>
      </c>
      <c r="D864" s="16" t="s">
        <v>766</v>
      </c>
      <c r="E864" s="15" t="s">
        <v>4063</v>
      </c>
      <c r="F864" s="21" t="str">
        <f>HYPERLINK("https://psearch.kitsapgov.com/webappa/index.html?parcelID=2636744&amp;Theme=Imagery","2636744")</f>
        <v>2636744</v>
      </c>
      <c r="G864" s="16" t="s">
        <v>4064</v>
      </c>
      <c r="H864" s="17">
        <v>43584</v>
      </c>
      <c r="I864" s="18">
        <v>125000</v>
      </c>
      <c r="J864" s="19">
        <v>0</v>
      </c>
      <c r="L864" s="16" t="s">
        <v>38</v>
      </c>
      <c r="M864" s="16" t="s">
        <v>3764</v>
      </c>
      <c r="N864" s="16" t="s">
        <v>4065</v>
      </c>
    </row>
    <row r="865" spans="1:14" ht="20.100000000000001" customHeight="1" x14ac:dyDescent="0.25">
      <c r="A865" s="15" t="s">
        <v>4066</v>
      </c>
      <c r="B865" s="16" t="s">
        <v>49</v>
      </c>
      <c r="C865" s="15">
        <v>8402306</v>
      </c>
      <c r="D865" s="16" t="s">
        <v>34</v>
      </c>
      <c r="E865" s="15" t="s">
        <v>4067</v>
      </c>
      <c r="F865" s="21" t="str">
        <f>HYPERLINK("https://psearch.kitsapgov.com/webappa/index.html?parcelID=1737915&amp;Theme=Imagery","1737915")</f>
        <v>1737915</v>
      </c>
      <c r="G865" s="16" t="s">
        <v>4068</v>
      </c>
      <c r="H865" s="17">
        <v>43581</v>
      </c>
      <c r="I865" s="18">
        <v>125000</v>
      </c>
      <c r="J865" s="19">
        <v>0.17</v>
      </c>
      <c r="K865" s="16" t="s">
        <v>583</v>
      </c>
      <c r="L865" s="16" t="s">
        <v>20</v>
      </c>
      <c r="M865" s="16" t="s">
        <v>4069</v>
      </c>
      <c r="N865" s="16" t="s">
        <v>4070</v>
      </c>
    </row>
    <row r="866" spans="1:14" ht="20.100000000000001" customHeight="1" x14ac:dyDescent="0.25">
      <c r="A866" s="15" t="s">
        <v>4071</v>
      </c>
      <c r="B866" s="16" t="s">
        <v>407</v>
      </c>
      <c r="C866" s="15">
        <v>8401102</v>
      </c>
      <c r="D866" s="16" t="s">
        <v>766</v>
      </c>
      <c r="E866" s="15" t="s">
        <v>4072</v>
      </c>
      <c r="F866" s="21" t="str">
        <f>HYPERLINK("https://psearch.kitsapgov.com/webappa/index.html?parcelID=2636702&amp;Theme=Imagery","2636702")</f>
        <v>2636702</v>
      </c>
      <c r="G866" s="16" t="s">
        <v>4073</v>
      </c>
      <c r="H866" s="17">
        <v>43585</v>
      </c>
      <c r="I866" s="18">
        <v>335000</v>
      </c>
      <c r="J866" s="19">
        <v>0</v>
      </c>
      <c r="L866" s="16" t="s">
        <v>38</v>
      </c>
      <c r="M866" s="16" t="s">
        <v>3764</v>
      </c>
      <c r="N866" s="16" t="s">
        <v>4074</v>
      </c>
    </row>
    <row r="867" spans="1:14" ht="20.100000000000001" customHeight="1" x14ac:dyDescent="0.25">
      <c r="A867" s="15" t="s">
        <v>4075</v>
      </c>
      <c r="B867" s="16" t="s">
        <v>33</v>
      </c>
      <c r="C867" s="15">
        <v>9400203</v>
      </c>
      <c r="D867" s="16" t="s">
        <v>42</v>
      </c>
      <c r="E867" s="15" t="s">
        <v>43</v>
      </c>
      <c r="F867" s="21" t="str">
        <f>HYPERLINK("https://psearch.kitsapgov.com/webappa/index.html?parcelID=2460939&amp;Theme=Imagery","2460939")</f>
        <v>2460939</v>
      </c>
      <c r="G867" s="16" t="s">
        <v>44</v>
      </c>
      <c r="H867" s="17">
        <v>43593</v>
      </c>
      <c r="I867" s="18">
        <v>450000</v>
      </c>
      <c r="J867" s="19">
        <v>0.06</v>
      </c>
      <c r="K867" s="16" t="s">
        <v>45</v>
      </c>
      <c r="L867" s="16" t="s">
        <v>38</v>
      </c>
      <c r="M867" s="16" t="s">
        <v>47</v>
      </c>
      <c r="N867" s="16" t="s">
        <v>4076</v>
      </c>
    </row>
    <row r="868" spans="1:14" ht="20.100000000000001" customHeight="1" x14ac:dyDescent="0.25">
      <c r="A868" s="15" t="s">
        <v>4077</v>
      </c>
      <c r="B868" s="16" t="s">
        <v>104</v>
      </c>
      <c r="C868" s="15">
        <v>8100501</v>
      </c>
      <c r="D868" s="16" t="s">
        <v>117</v>
      </c>
      <c r="E868" s="15" t="s">
        <v>4078</v>
      </c>
      <c r="F868" s="21" t="str">
        <f>HYPERLINK("https://psearch.kitsapgov.com/webappa/index.html?parcelID=1426584&amp;Theme=Imagery","1426584")</f>
        <v>1426584</v>
      </c>
      <c r="G868" s="16" t="s">
        <v>4079</v>
      </c>
      <c r="H868" s="17">
        <v>43598</v>
      </c>
      <c r="I868" s="18">
        <v>450000</v>
      </c>
      <c r="J868" s="19">
        <v>0.13</v>
      </c>
      <c r="K868" s="16" t="s">
        <v>120</v>
      </c>
      <c r="L868" s="16" t="s">
        <v>38</v>
      </c>
      <c r="M868" s="16" t="s">
        <v>4080</v>
      </c>
      <c r="N868" s="16" t="s">
        <v>4081</v>
      </c>
    </row>
    <row r="869" spans="1:14" ht="20.100000000000001" customHeight="1" x14ac:dyDescent="0.25">
      <c r="A869" s="15" t="s">
        <v>4082</v>
      </c>
      <c r="B869" s="16" t="s">
        <v>49</v>
      </c>
      <c r="C869" s="15">
        <v>8303601</v>
      </c>
      <c r="D869" s="16" t="s">
        <v>50</v>
      </c>
      <c r="E869" s="15" t="s">
        <v>1218</v>
      </c>
      <c r="F869" s="21" t="str">
        <f>HYPERLINK("https://psearch.kitsapgov.com/webappa/index.html?parcelID=1305135&amp;Theme=Imagery","1305135")</f>
        <v>1305135</v>
      </c>
      <c r="G869" s="16" t="s">
        <v>1219</v>
      </c>
      <c r="H869" s="17">
        <v>43593</v>
      </c>
      <c r="I869" s="18">
        <v>950000</v>
      </c>
      <c r="J869" s="19">
        <v>0.43</v>
      </c>
      <c r="K869" s="16" t="s">
        <v>205</v>
      </c>
      <c r="L869" s="16" t="s">
        <v>38</v>
      </c>
      <c r="M869" s="16" t="s">
        <v>1221</v>
      </c>
      <c r="N869" s="16" t="s">
        <v>4083</v>
      </c>
    </row>
    <row r="870" spans="1:14" ht="20.100000000000001" customHeight="1" x14ac:dyDescent="0.25">
      <c r="A870" s="15" t="s">
        <v>4084</v>
      </c>
      <c r="B870" s="16" t="s">
        <v>286</v>
      </c>
      <c r="C870" s="15">
        <v>8400206</v>
      </c>
      <c r="D870" s="16" t="s">
        <v>287</v>
      </c>
      <c r="E870" s="15" t="s">
        <v>4085</v>
      </c>
      <c r="F870" s="21" t="str">
        <f>HYPERLINK("https://psearch.kitsapgov.com/webappa/index.html?parcelID=2071173&amp;Theme=Imagery","2071173")</f>
        <v>2071173</v>
      </c>
      <c r="G870" s="16" t="s">
        <v>450</v>
      </c>
      <c r="H870" s="17">
        <v>43595</v>
      </c>
      <c r="I870" s="18">
        <v>42000</v>
      </c>
      <c r="J870" s="19">
        <v>0</v>
      </c>
      <c r="L870" s="16" t="s">
        <v>38</v>
      </c>
      <c r="M870" s="16" t="s">
        <v>4086</v>
      </c>
      <c r="N870" s="16" t="s">
        <v>4087</v>
      </c>
    </row>
    <row r="871" spans="1:14" ht="20.100000000000001" customHeight="1" x14ac:dyDescent="0.25">
      <c r="A871" s="15" t="s">
        <v>4088</v>
      </c>
      <c r="B871" s="16" t="s">
        <v>89</v>
      </c>
      <c r="C871" s="15">
        <v>8100502</v>
      </c>
      <c r="D871" s="16" t="s">
        <v>67</v>
      </c>
      <c r="E871" s="15" t="s">
        <v>4089</v>
      </c>
      <c r="F871" s="21" t="str">
        <f>HYPERLINK("https://psearch.kitsapgov.com/webappa/index.html?parcelID=1126622&amp;Theme=Imagery","1126622")</f>
        <v>1126622</v>
      </c>
      <c r="G871" s="16" t="s">
        <v>4090</v>
      </c>
      <c r="H871" s="17">
        <v>43598</v>
      </c>
      <c r="I871" s="18">
        <v>400000</v>
      </c>
      <c r="J871" s="19">
        <v>0.32</v>
      </c>
      <c r="K871" s="16" t="s">
        <v>85</v>
      </c>
      <c r="L871" s="16" t="s">
        <v>38</v>
      </c>
      <c r="M871" s="16" t="s">
        <v>4091</v>
      </c>
      <c r="N871" s="16" t="s">
        <v>4092</v>
      </c>
    </row>
    <row r="872" spans="1:14" ht="20.100000000000001" customHeight="1" x14ac:dyDescent="0.25">
      <c r="A872" s="15" t="s">
        <v>4093</v>
      </c>
      <c r="B872" s="16" t="s">
        <v>286</v>
      </c>
      <c r="C872" s="15">
        <v>8400206</v>
      </c>
      <c r="D872" s="16" t="s">
        <v>287</v>
      </c>
      <c r="E872" s="15" t="s">
        <v>4094</v>
      </c>
      <c r="F872" s="21" t="str">
        <f>HYPERLINK("https://psearch.kitsapgov.com/webappa/index.html?parcelID=2260891&amp;Theme=Imagery","2260891")</f>
        <v>2260891</v>
      </c>
      <c r="G872" s="16" t="s">
        <v>1551</v>
      </c>
      <c r="H872" s="17">
        <v>43600</v>
      </c>
      <c r="I872" s="18">
        <v>52000</v>
      </c>
      <c r="J872" s="19">
        <v>0</v>
      </c>
      <c r="L872" s="16" t="s">
        <v>38</v>
      </c>
      <c r="M872" s="16" t="s">
        <v>4095</v>
      </c>
      <c r="N872" s="16" t="s">
        <v>4096</v>
      </c>
    </row>
    <row r="873" spans="1:14" ht="20.100000000000001" customHeight="1" x14ac:dyDescent="0.25">
      <c r="A873" s="15" t="s">
        <v>4097</v>
      </c>
      <c r="B873" s="16" t="s">
        <v>4098</v>
      </c>
      <c r="C873" s="15">
        <v>8400203</v>
      </c>
      <c r="D873" s="16" t="s">
        <v>97</v>
      </c>
      <c r="E873" s="15" t="s">
        <v>4099</v>
      </c>
      <c r="F873" s="21" t="str">
        <f>HYPERLINK("https://psearch.kitsapgov.com/webappa/index.html?parcelID=1336296&amp;Theme=Imagery","1336296")</f>
        <v>1336296</v>
      </c>
      <c r="G873" s="16" t="s">
        <v>4100</v>
      </c>
      <c r="H873" s="17">
        <v>43606</v>
      </c>
      <c r="I873" s="18">
        <v>975000</v>
      </c>
      <c r="J873" s="19">
        <v>1.9</v>
      </c>
      <c r="K873" s="16" t="s">
        <v>100</v>
      </c>
      <c r="L873" s="16" t="s">
        <v>38</v>
      </c>
      <c r="M873" s="16" t="s">
        <v>4101</v>
      </c>
      <c r="N873" s="16" t="s">
        <v>4102</v>
      </c>
    </row>
    <row r="874" spans="1:14" ht="20.100000000000001" customHeight="1" x14ac:dyDescent="0.25">
      <c r="A874" s="15" t="s">
        <v>4103</v>
      </c>
      <c r="B874" s="16" t="s">
        <v>688</v>
      </c>
      <c r="C874" s="15">
        <v>8100502</v>
      </c>
      <c r="D874" s="16" t="s">
        <v>67</v>
      </c>
      <c r="E874" s="15" t="s">
        <v>4104</v>
      </c>
      <c r="F874" s="21" t="str">
        <f>HYPERLINK("https://psearch.kitsapgov.com/webappa/index.html?parcelID=2561058&amp;Theme=Imagery","2561058")</f>
        <v>2561058</v>
      </c>
      <c r="G874" s="16" t="s">
        <v>4105</v>
      </c>
      <c r="H874" s="17">
        <v>43600</v>
      </c>
      <c r="I874" s="18">
        <v>5200000</v>
      </c>
      <c r="J874" s="19">
        <v>1.07</v>
      </c>
      <c r="K874" s="16" t="s">
        <v>173</v>
      </c>
      <c r="L874" s="16" t="s">
        <v>38</v>
      </c>
      <c r="M874" s="16" t="s">
        <v>4106</v>
      </c>
      <c r="N874" s="16" t="s">
        <v>4107</v>
      </c>
    </row>
    <row r="875" spans="1:14" ht="20.100000000000001" customHeight="1" x14ac:dyDescent="0.25">
      <c r="A875" s="15" t="s">
        <v>4108</v>
      </c>
      <c r="B875" s="16" t="s">
        <v>1037</v>
      </c>
      <c r="C875" s="15">
        <v>8400203</v>
      </c>
      <c r="D875" s="16" t="s">
        <v>97</v>
      </c>
      <c r="E875" s="15" t="s">
        <v>4109</v>
      </c>
      <c r="F875" s="21" t="str">
        <f>HYPERLINK("https://psearch.kitsapgov.com/webappa/index.html?parcelID=2326585&amp;Theme=Imagery","2326585")</f>
        <v>2326585</v>
      </c>
      <c r="G875" s="16" t="s">
        <v>4110</v>
      </c>
      <c r="H875" s="17">
        <v>43599</v>
      </c>
      <c r="I875" s="18">
        <v>5863042</v>
      </c>
      <c r="J875" s="19">
        <v>5.64</v>
      </c>
      <c r="K875" s="16" t="s">
        <v>100</v>
      </c>
      <c r="L875" s="16" t="s">
        <v>38</v>
      </c>
      <c r="M875" s="16" t="s">
        <v>888</v>
      </c>
      <c r="N875" s="16" t="s">
        <v>4111</v>
      </c>
    </row>
    <row r="876" spans="1:14" ht="20.100000000000001" customHeight="1" x14ac:dyDescent="0.25">
      <c r="A876" s="15" t="s">
        <v>4112</v>
      </c>
      <c r="B876" s="16" t="s">
        <v>330</v>
      </c>
      <c r="C876" s="15">
        <v>8400202</v>
      </c>
      <c r="D876" s="16" t="s">
        <v>158</v>
      </c>
      <c r="E876" s="15" t="s">
        <v>4113</v>
      </c>
      <c r="F876" s="21" t="str">
        <f>HYPERLINK("https://psearch.kitsapgov.com/webappa/index.html?parcelID=2223121&amp;Theme=Imagery","2223121")</f>
        <v>2223121</v>
      </c>
      <c r="G876" s="16" t="s">
        <v>4114</v>
      </c>
      <c r="H876" s="17">
        <v>43606</v>
      </c>
      <c r="I876" s="18">
        <v>250000</v>
      </c>
      <c r="J876" s="19">
        <v>0.33</v>
      </c>
      <c r="K876" s="16" t="s">
        <v>100</v>
      </c>
      <c r="L876" s="16" t="s">
        <v>38</v>
      </c>
      <c r="M876" s="16" t="s">
        <v>4115</v>
      </c>
      <c r="N876" s="16" t="s">
        <v>4116</v>
      </c>
    </row>
    <row r="877" spans="1:14" ht="20.100000000000001" customHeight="1" x14ac:dyDescent="0.25">
      <c r="A877" s="15" t="s">
        <v>4117</v>
      </c>
      <c r="B877" s="16" t="s">
        <v>49</v>
      </c>
      <c r="C877" s="15">
        <v>8401508</v>
      </c>
      <c r="D877" s="16" t="s">
        <v>90</v>
      </c>
      <c r="E877" s="15" t="s">
        <v>4118</v>
      </c>
      <c r="F877" s="21" t="str">
        <f>HYPERLINK("https://psearch.kitsapgov.com/webappa/index.html?parcelID=1279678&amp;Theme=Imagery","1279678")</f>
        <v>1279678</v>
      </c>
      <c r="G877" s="16" t="s">
        <v>4119</v>
      </c>
      <c r="H877" s="17">
        <v>43598</v>
      </c>
      <c r="I877" s="18">
        <v>195000</v>
      </c>
      <c r="J877" s="19">
        <v>0.78</v>
      </c>
      <c r="K877" s="16" t="s">
        <v>78</v>
      </c>
      <c r="L877" s="16" t="s">
        <v>372</v>
      </c>
      <c r="M877" s="16" t="s">
        <v>4120</v>
      </c>
      <c r="N877" s="16" t="s">
        <v>4121</v>
      </c>
    </row>
    <row r="878" spans="1:14" ht="20.100000000000001" customHeight="1" x14ac:dyDescent="0.25">
      <c r="A878" s="15" t="s">
        <v>4122</v>
      </c>
      <c r="B878" s="16" t="s">
        <v>286</v>
      </c>
      <c r="C878" s="15">
        <v>8400206</v>
      </c>
      <c r="D878" s="16" t="s">
        <v>287</v>
      </c>
      <c r="E878" s="15" t="s">
        <v>4123</v>
      </c>
      <c r="F878" s="21" t="str">
        <f>HYPERLINK("https://psearch.kitsapgov.com/webappa/index.html?parcelID=2071017&amp;Theme=Imagery","2071017")</f>
        <v>2071017</v>
      </c>
      <c r="G878" s="16" t="s">
        <v>1147</v>
      </c>
      <c r="H878" s="17">
        <v>43609</v>
      </c>
      <c r="I878" s="18">
        <v>43000</v>
      </c>
      <c r="J878" s="19">
        <v>0</v>
      </c>
      <c r="L878" s="16" t="s">
        <v>38</v>
      </c>
      <c r="M878" s="16" t="s">
        <v>4124</v>
      </c>
      <c r="N878" s="16" t="s">
        <v>4125</v>
      </c>
    </row>
    <row r="879" spans="1:14" ht="20.100000000000001" customHeight="1" x14ac:dyDescent="0.25">
      <c r="A879" s="15" t="s">
        <v>4126</v>
      </c>
      <c r="B879" s="16" t="s">
        <v>286</v>
      </c>
      <c r="C879" s="15">
        <v>8400206</v>
      </c>
      <c r="D879" s="16" t="s">
        <v>287</v>
      </c>
      <c r="E879" s="15" t="s">
        <v>4127</v>
      </c>
      <c r="F879" s="21" t="str">
        <f>HYPERLINK("https://psearch.kitsapgov.com/webappa/index.html?parcelID=2071462&amp;Theme=Imagery","2071462")</f>
        <v>2071462</v>
      </c>
      <c r="G879" s="16" t="s">
        <v>289</v>
      </c>
      <c r="H879" s="17">
        <v>43615</v>
      </c>
      <c r="I879" s="18">
        <v>36500</v>
      </c>
      <c r="J879" s="19">
        <v>0</v>
      </c>
      <c r="L879" s="16" t="s">
        <v>38</v>
      </c>
      <c r="M879" s="16" t="s">
        <v>4128</v>
      </c>
      <c r="N879" s="16" t="s">
        <v>4129</v>
      </c>
    </row>
    <row r="880" spans="1:14" ht="20.100000000000001" customHeight="1" x14ac:dyDescent="0.25">
      <c r="A880" s="15" t="s">
        <v>4130</v>
      </c>
      <c r="B880" s="16" t="s">
        <v>286</v>
      </c>
      <c r="C880" s="15">
        <v>8303660</v>
      </c>
      <c r="D880" s="16" t="s">
        <v>313</v>
      </c>
      <c r="E880" s="15" t="s">
        <v>4131</v>
      </c>
      <c r="F880" s="21" t="str">
        <f>HYPERLINK("https://psearch.kitsapgov.com/webappa/index.html?parcelID=1880863&amp;Theme=Imagery","1880863")</f>
        <v>1880863</v>
      </c>
      <c r="G880" s="16" t="s">
        <v>4132</v>
      </c>
      <c r="H880" s="17">
        <v>43608</v>
      </c>
      <c r="I880" s="18">
        <v>77500</v>
      </c>
      <c r="J880" s="19">
        <v>0</v>
      </c>
      <c r="L880" s="16" t="s">
        <v>38</v>
      </c>
      <c r="M880" s="16" t="s">
        <v>4133</v>
      </c>
      <c r="N880" s="16" t="s">
        <v>4134</v>
      </c>
    </row>
    <row r="881" spans="1:14" ht="20.100000000000001" customHeight="1" x14ac:dyDescent="0.25">
      <c r="A881" s="15" t="s">
        <v>4135</v>
      </c>
      <c r="B881" s="16" t="s">
        <v>49</v>
      </c>
      <c r="C881" s="15">
        <v>8100510</v>
      </c>
      <c r="D881" s="16" t="s">
        <v>401</v>
      </c>
      <c r="E881" s="15" t="s">
        <v>4136</v>
      </c>
      <c r="F881" s="21" t="str">
        <f>HYPERLINK("https://psearch.kitsapgov.com/webappa/index.html?parcelID=1467133&amp;Theme=Imagery","1467133")</f>
        <v>1467133</v>
      </c>
      <c r="G881" s="16" t="s">
        <v>1755</v>
      </c>
      <c r="H881" s="17">
        <v>43614</v>
      </c>
      <c r="I881" s="18">
        <v>240000</v>
      </c>
      <c r="J881" s="19">
        <v>0.09</v>
      </c>
      <c r="K881" s="16" t="s">
        <v>28</v>
      </c>
      <c r="L881" s="16" t="s">
        <v>38</v>
      </c>
      <c r="M881" s="16" t="s">
        <v>4137</v>
      </c>
      <c r="N881" s="16" t="s">
        <v>4138</v>
      </c>
    </row>
    <row r="882" spans="1:14" ht="20.100000000000001" customHeight="1" x14ac:dyDescent="0.25">
      <c r="A882" s="15" t="s">
        <v>4139</v>
      </c>
      <c r="B882" s="16" t="s">
        <v>1037</v>
      </c>
      <c r="C882" s="15">
        <v>8401508</v>
      </c>
      <c r="D882" s="16" t="s">
        <v>90</v>
      </c>
      <c r="E882" s="15" t="s">
        <v>4140</v>
      </c>
      <c r="F882" s="21" t="str">
        <f>HYPERLINK("https://psearch.kitsapgov.com/webappa/index.html?parcelID=1912070&amp;Theme=Imagery","1912070")</f>
        <v>1912070</v>
      </c>
      <c r="G882" s="16" t="s">
        <v>4141</v>
      </c>
      <c r="H882" s="17">
        <v>43613</v>
      </c>
      <c r="I882" s="18">
        <v>1600000</v>
      </c>
      <c r="J882" s="19">
        <v>2.4500000000000002</v>
      </c>
      <c r="K882" s="16" t="s">
        <v>78</v>
      </c>
      <c r="L882" s="16" t="s">
        <v>20</v>
      </c>
      <c r="M882" s="16" t="s">
        <v>4142</v>
      </c>
      <c r="N882" s="16" t="s">
        <v>4143</v>
      </c>
    </row>
    <row r="883" spans="1:14" ht="20.100000000000001" customHeight="1" x14ac:dyDescent="0.25">
      <c r="A883" s="15" t="s">
        <v>4144</v>
      </c>
      <c r="B883" s="16" t="s">
        <v>96</v>
      </c>
      <c r="C883" s="15">
        <v>8303601</v>
      </c>
      <c r="D883" s="16" t="s">
        <v>50</v>
      </c>
      <c r="E883" s="15" t="s">
        <v>4145</v>
      </c>
      <c r="F883" s="21" t="str">
        <f>HYPERLINK("https://psearch.kitsapgov.com/webappa/index.html?parcelID=1306612&amp;Theme=Imagery","1306612")</f>
        <v>1306612</v>
      </c>
      <c r="G883" s="16" t="s">
        <v>4146</v>
      </c>
      <c r="H883" s="17">
        <v>43614</v>
      </c>
      <c r="I883" s="18">
        <v>735000</v>
      </c>
      <c r="J883" s="19">
        <v>0.14000000000000001</v>
      </c>
      <c r="K883" s="16" t="s">
        <v>4147</v>
      </c>
      <c r="L883" s="16" t="s">
        <v>20</v>
      </c>
      <c r="M883" s="16" t="s">
        <v>4148</v>
      </c>
      <c r="N883" s="16" t="s">
        <v>4149</v>
      </c>
    </row>
    <row r="884" spans="1:14" ht="20.100000000000001" customHeight="1" x14ac:dyDescent="0.25">
      <c r="A884" s="15" t="s">
        <v>4150</v>
      </c>
      <c r="B884" s="16" t="s">
        <v>393</v>
      </c>
      <c r="C884" s="15">
        <v>8401103</v>
      </c>
      <c r="D884" s="16" t="s">
        <v>826</v>
      </c>
      <c r="E884" s="15" t="s">
        <v>1077</v>
      </c>
      <c r="F884" s="21" t="str">
        <f>HYPERLINK("https://psearch.kitsapgov.com/webappa/index.html?parcelID=2240497&amp;Theme=Imagery","2240497")</f>
        <v>2240497</v>
      </c>
      <c r="G884" s="16" t="s">
        <v>1078</v>
      </c>
      <c r="H884" s="17">
        <v>43615</v>
      </c>
      <c r="I884" s="18">
        <v>56500000</v>
      </c>
      <c r="J884" s="19">
        <v>14.59</v>
      </c>
      <c r="K884" s="16" t="s">
        <v>708</v>
      </c>
      <c r="L884" s="16" t="s">
        <v>1933</v>
      </c>
      <c r="M884" s="16" t="s">
        <v>1080</v>
      </c>
      <c r="N884" s="16" t="s">
        <v>4151</v>
      </c>
    </row>
    <row r="885" spans="1:14" ht="20.100000000000001" customHeight="1" x14ac:dyDescent="0.25">
      <c r="A885" s="15" t="s">
        <v>4152</v>
      </c>
      <c r="B885" s="16" t="s">
        <v>33</v>
      </c>
      <c r="C885" s="15">
        <v>8401102</v>
      </c>
      <c r="D885" s="16" t="s">
        <v>766</v>
      </c>
      <c r="E885" s="15" t="s">
        <v>4153</v>
      </c>
      <c r="F885" s="21" t="str">
        <f>HYPERLINK("https://psearch.kitsapgov.com/webappa/index.html?parcelID=1659176&amp;Theme=Imagery","1659176")</f>
        <v>1659176</v>
      </c>
      <c r="G885" s="16" t="s">
        <v>3246</v>
      </c>
      <c r="H885" s="17">
        <v>43615</v>
      </c>
      <c r="I885" s="18">
        <v>412000</v>
      </c>
      <c r="J885" s="19">
        <v>0.14000000000000001</v>
      </c>
      <c r="K885" s="16" t="s">
        <v>188</v>
      </c>
      <c r="L885" s="16" t="s">
        <v>38</v>
      </c>
      <c r="M885" s="16" t="s">
        <v>4154</v>
      </c>
      <c r="N885" s="16" t="s">
        <v>4155</v>
      </c>
    </row>
    <row r="886" spans="1:14" ht="20.100000000000001" customHeight="1" x14ac:dyDescent="0.25">
      <c r="A886" s="15" t="s">
        <v>4156</v>
      </c>
      <c r="B886" s="16" t="s">
        <v>239</v>
      </c>
      <c r="C886" s="15">
        <v>8401101</v>
      </c>
      <c r="D886" s="16" t="s">
        <v>185</v>
      </c>
      <c r="E886" s="15" t="s">
        <v>4157</v>
      </c>
      <c r="F886" s="21" t="str">
        <f>HYPERLINK("https://psearch.kitsapgov.com/webappa/index.html?parcelID=1238690&amp;Theme=Imagery","1238690")</f>
        <v>1238690</v>
      </c>
      <c r="G886" s="16" t="s">
        <v>4158</v>
      </c>
      <c r="H886" s="17">
        <v>43616</v>
      </c>
      <c r="I886" s="18">
        <v>1100000</v>
      </c>
      <c r="J886" s="19">
        <v>0.26</v>
      </c>
      <c r="K886" s="16" t="s">
        <v>188</v>
      </c>
      <c r="L886" s="16" t="s">
        <v>38</v>
      </c>
      <c r="M886" s="16" t="s">
        <v>4159</v>
      </c>
      <c r="N886" s="16" t="s">
        <v>4160</v>
      </c>
    </row>
    <row r="887" spans="1:14" ht="20.100000000000001" customHeight="1" x14ac:dyDescent="0.25">
      <c r="A887" s="15" t="s">
        <v>4161</v>
      </c>
      <c r="B887" s="16" t="s">
        <v>66</v>
      </c>
      <c r="C887" s="15">
        <v>8100502</v>
      </c>
      <c r="D887" s="16" t="s">
        <v>67</v>
      </c>
      <c r="E887" s="15" t="s">
        <v>4162</v>
      </c>
      <c r="F887" s="21" t="str">
        <f>HYPERLINK("https://psearch.kitsapgov.com/webappa/index.html?parcelID=2632735&amp;Theme=Imagery","2632735")</f>
        <v>2632735</v>
      </c>
      <c r="G887" s="16" t="s">
        <v>4163</v>
      </c>
      <c r="H887" s="17">
        <v>43620</v>
      </c>
      <c r="I887" s="18">
        <v>1025000</v>
      </c>
      <c r="J887" s="19">
        <v>0.64</v>
      </c>
      <c r="K887" s="16" t="s">
        <v>173</v>
      </c>
      <c r="L887" s="16" t="s">
        <v>38</v>
      </c>
      <c r="M887" s="16" t="s">
        <v>4164</v>
      </c>
      <c r="N887" s="16" t="s">
        <v>2818</v>
      </c>
    </row>
    <row r="888" spans="1:14" ht="20.100000000000001" customHeight="1" x14ac:dyDescent="0.25">
      <c r="A888" s="15" t="s">
        <v>4165</v>
      </c>
      <c r="B888" s="16" t="s">
        <v>89</v>
      </c>
      <c r="C888" s="15">
        <v>8100506</v>
      </c>
      <c r="D888" s="16" t="s">
        <v>25</v>
      </c>
      <c r="E888" s="15" t="s">
        <v>4166</v>
      </c>
      <c r="F888" s="21" t="str">
        <f>HYPERLINK("https://psearch.kitsapgov.com/webappa/index.html?parcelID=1476258&amp;Theme=Imagery","1476258")</f>
        <v>1476258</v>
      </c>
      <c r="G888" s="16" t="s">
        <v>4167</v>
      </c>
      <c r="H888" s="17">
        <v>43613</v>
      </c>
      <c r="I888" s="18">
        <v>140000</v>
      </c>
      <c r="J888" s="19">
        <v>0.09</v>
      </c>
      <c r="K888" s="16" t="s">
        <v>839</v>
      </c>
      <c r="L888" s="16" t="s">
        <v>38</v>
      </c>
      <c r="M888" s="16" t="s">
        <v>4168</v>
      </c>
      <c r="N888" s="16" t="s">
        <v>4169</v>
      </c>
    </row>
    <row r="889" spans="1:14" ht="20.100000000000001" customHeight="1" x14ac:dyDescent="0.25">
      <c r="A889" s="15" t="s">
        <v>4170</v>
      </c>
      <c r="B889" s="16" t="s">
        <v>286</v>
      </c>
      <c r="C889" s="15">
        <v>8400206</v>
      </c>
      <c r="D889" s="16" t="s">
        <v>287</v>
      </c>
      <c r="E889" s="15" t="s">
        <v>4171</v>
      </c>
      <c r="F889" s="21" t="str">
        <f>HYPERLINK("https://psearch.kitsapgov.com/webappa/index.html?parcelID=2071488&amp;Theme=Imagery","2071488")</f>
        <v>2071488</v>
      </c>
      <c r="G889" s="16" t="s">
        <v>289</v>
      </c>
      <c r="H889" s="17">
        <v>43622</v>
      </c>
      <c r="I889" s="18">
        <v>30000</v>
      </c>
      <c r="J889" s="19">
        <v>0</v>
      </c>
      <c r="L889" s="16" t="s">
        <v>290</v>
      </c>
      <c r="M889" s="16" t="s">
        <v>4172</v>
      </c>
      <c r="N889" s="16" t="s">
        <v>4173</v>
      </c>
    </row>
    <row r="890" spans="1:14" ht="20.100000000000001" customHeight="1" x14ac:dyDescent="0.25">
      <c r="A890" s="15" t="s">
        <v>4174</v>
      </c>
      <c r="B890" s="16" t="s">
        <v>89</v>
      </c>
      <c r="C890" s="15">
        <v>8100510</v>
      </c>
      <c r="D890" s="16" t="s">
        <v>401</v>
      </c>
      <c r="E890" s="15" t="s">
        <v>4175</v>
      </c>
      <c r="F890" s="21" t="str">
        <f>HYPERLINK("https://psearch.kitsapgov.com/webappa/index.html?parcelID=1437847&amp;Theme=Imagery","1437847")</f>
        <v>1437847</v>
      </c>
      <c r="G890" s="16" t="s">
        <v>4176</v>
      </c>
      <c r="H890" s="17">
        <v>43626</v>
      </c>
      <c r="I890" s="18">
        <v>375000</v>
      </c>
      <c r="J890" s="19">
        <v>0.14000000000000001</v>
      </c>
      <c r="K890" s="16" t="s">
        <v>28</v>
      </c>
      <c r="L890" s="16" t="s">
        <v>38</v>
      </c>
      <c r="M890" s="16" t="s">
        <v>4177</v>
      </c>
      <c r="N890" s="16" t="s">
        <v>4178</v>
      </c>
    </row>
    <row r="891" spans="1:14" ht="20.100000000000001" customHeight="1" x14ac:dyDescent="0.25">
      <c r="A891" s="15" t="s">
        <v>4179</v>
      </c>
      <c r="B891" s="16" t="s">
        <v>57</v>
      </c>
      <c r="C891" s="15">
        <v>8100506</v>
      </c>
      <c r="D891" s="16" t="s">
        <v>25</v>
      </c>
      <c r="E891" s="15" t="s">
        <v>4180</v>
      </c>
      <c r="F891" s="21" t="str">
        <f>HYPERLINK("https://psearch.kitsapgov.com/webappa/index.html?parcelID=2640795&amp;Theme=Imagery","2640795")</f>
        <v>2640795</v>
      </c>
      <c r="G891" s="16" t="s">
        <v>1838</v>
      </c>
      <c r="H891" s="17">
        <v>43633</v>
      </c>
      <c r="I891" s="18">
        <v>750000</v>
      </c>
      <c r="J891" s="19">
        <v>0.74</v>
      </c>
      <c r="K891" s="16" t="s">
        <v>28</v>
      </c>
      <c r="L891" s="16" t="s">
        <v>20</v>
      </c>
      <c r="M891" s="16" t="s">
        <v>4181</v>
      </c>
      <c r="N891" s="16" t="s">
        <v>4182</v>
      </c>
    </row>
    <row r="892" spans="1:14" ht="20.100000000000001" customHeight="1" x14ac:dyDescent="0.25">
      <c r="A892" s="15" t="s">
        <v>4183</v>
      </c>
      <c r="B892" s="16" t="s">
        <v>89</v>
      </c>
      <c r="C892" s="15">
        <v>8100506</v>
      </c>
      <c r="D892" s="16" t="s">
        <v>25</v>
      </c>
      <c r="E892" s="15" t="s">
        <v>4184</v>
      </c>
      <c r="F892" s="21" t="str">
        <f>HYPERLINK("https://psearch.kitsapgov.com/webappa/index.html?parcelID=1472364&amp;Theme=Imagery","1472364")</f>
        <v>1472364</v>
      </c>
      <c r="G892" s="16" t="s">
        <v>4185</v>
      </c>
      <c r="H892" s="17">
        <v>43635</v>
      </c>
      <c r="I892" s="18">
        <v>160000</v>
      </c>
      <c r="J892" s="19">
        <v>0.17</v>
      </c>
      <c r="K892" s="16" t="s">
        <v>839</v>
      </c>
      <c r="L892" s="16" t="s">
        <v>38</v>
      </c>
      <c r="M892" s="16" t="s">
        <v>4186</v>
      </c>
      <c r="N892" s="16" t="s">
        <v>4187</v>
      </c>
    </row>
    <row r="893" spans="1:14" ht="20.100000000000001" customHeight="1" x14ac:dyDescent="0.25">
      <c r="A893" s="15" t="s">
        <v>4188</v>
      </c>
      <c r="B893" s="16" t="s">
        <v>74</v>
      </c>
      <c r="C893" s="15">
        <v>8401508</v>
      </c>
      <c r="D893" s="16" t="s">
        <v>90</v>
      </c>
      <c r="E893" s="15" t="s">
        <v>4189</v>
      </c>
      <c r="F893" s="21" t="str">
        <f>HYPERLINK("https://psearch.kitsapgov.com/webappa/index.html?parcelID=1279942&amp;Theme=Imagery","1279942")</f>
        <v>1279942</v>
      </c>
      <c r="G893" s="16" t="s">
        <v>4190</v>
      </c>
      <c r="H893" s="17">
        <v>43637</v>
      </c>
      <c r="I893" s="18">
        <v>2690000</v>
      </c>
      <c r="J893" s="19">
        <v>1.49</v>
      </c>
      <c r="K893" s="16" t="s">
        <v>78</v>
      </c>
      <c r="L893" s="16" t="s">
        <v>38</v>
      </c>
      <c r="M893" s="16" t="s">
        <v>4191</v>
      </c>
      <c r="N893" s="16" t="s">
        <v>3786</v>
      </c>
    </row>
    <row r="894" spans="1:14" ht="20.100000000000001" customHeight="1" x14ac:dyDescent="0.25">
      <c r="A894" s="15" t="s">
        <v>4192</v>
      </c>
      <c r="B894" s="16" t="s">
        <v>286</v>
      </c>
      <c r="C894" s="15">
        <v>8400206</v>
      </c>
      <c r="D894" s="16" t="s">
        <v>287</v>
      </c>
      <c r="E894" s="15" t="s">
        <v>1783</v>
      </c>
      <c r="F894" s="21" t="str">
        <f>HYPERLINK("https://psearch.kitsapgov.com/webappa/index.html?parcelID=2260867&amp;Theme=Imagery","2260867")</f>
        <v>2260867</v>
      </c>
      <c r="G894" s="16" t="s">
        <v>1551</v>
      </c>
      <c r="H894" s="17">
        <v>43637</v>
      </c>
      <c r="I894" s="18">
        <v>49500</v>
      </c>
      <c r="J894" s="19">
        <v>0</v>
      </c>
      <c r="L894" s="16" t="s">
        <v>38</v>
      </c>
      <c r="M894" s="16" t="s">
        <v>1785</v>
      </c>
      <c r="N894" s="16" t="s">
        <v>4193</v>
      </c>
    </row>
    <row r="895" spans="1:14" ht="20.100000000000001" customHeight="1" x14ac:dyDescent="0.25">
      <c r="A895" s="15" t="s">
        <v>4194</v>
      </c>
      <c r="B895" s="16" t="s">
        <v>4195</v>
      </c>
      <c r="C895" s="15">
        <v>8401104</v>
      </c>
      <c r="D895" s="16" t="s">
        <v>144</v>
      </c>
      <c r="E895" s="15" t="s">
        <v>4196</v>
      </c>
      <c r="F895" s="21" t="str">
        <f>HYPERLINK("https://psearch.kitsapgov.com/webappa/index.html?parcelID=2625788&amp;Theme=Imagery","2625788")</f>
        <v>2625788</v>
      </c>
      <c r="G895" s="16" t="s">
        <v>4197</v>
      </c>
      <c r="H895" s="17">
        <v>43598</v>
      </c>
      <c r="I895" s="18">
        <v>22000</v>
      </c>
      <c r="J895" s="19">
        <v>6.75</v>
      </c>
      <c r="L895" s="16" t="s">
        <v>856</v>
      </c>
      <c r="M895" s="16" t="s">
        <v>1449</v>
      </c>
      <c r="N895" s="16" t="s">
        <v>4198</v>
      </c>
    </row>
    <row r="896" spans="1:14" ht="20.100000000000001" customHeight="1" x14ac:dyDescent="0.25">
      <c r="A896" s="15" t="s">
        <v>4199</v>
      </c>
      <c r="B896" s="16" t="s">
        <v>89</v>
      </c>
      <c r="C896" s="15">
        <v>8402307</v>
      </c>
      <c r="D896" s="16" t="s">
        <v>151</v>
      </c>
      <c r="E896" s="15" t="s">
        <v>4200</v>
      </c>
      <c r="F896" s="21" t="str">
        <f>HYPERLINK("https://psearch.kitsapgov.com/webappa/index.html?parcelID=2374379&amp;Theme=Imagery","2374379")</f>
        <v>2374379</v>
      </c>
      <c r="G896" s="16" t="s">
        <v>4201</v>
      </c>
      <c r="H896" s="17">
        <v>43644</v>
      </c>
      <c r="I896" s="18">
        <v>2394000</v>
      </c>
      <c r="J896" s="19">
        <v>1.99</v>
      </c>
      <c r="K896" s="16" t="s">
        <v>154</v>
      </c>
      <c r="L896" s="16" t="s">
        <v>38</v>
      </c>
      <c r="M896" s="16" t="s">
        <v>1153</v>
      </c>
      <c r="N896" s="16" t="s">
        <v>4202</v>
      </c>
    </row>
    <row r="897" spans="1:14" ht="20.100000000000001" customHeight="1" x14ac:dyDescent="0.25">
      <c r="A897" s="15" t="s">
        <v>4203</v>
      </c>
      <c r="B897" s="16" t="s">
        <v>286</v>
      </c>
      <c r="C897" s="15">
        <v>8400206</v>
      </c>
      <c r="D897" s="16" t="s">
        <v>287</v>
      </c>
      <c r="E897" s="15" t="s">
        <v>4204</v>
      </c>
      <c r="F897" s="21" t="str">
        <f>HYPERLINK("https://psearch.kitsapgov.com/webappa/index.html?parcelID=2070803&amp;Theme=Imagery","2070803")</f>
        <v>2070803</v>
      </c>
      <c r="G897" s="16" t="s">
        <v>4205</v>
      </c>
      <c r="H897" s="17">
        <v>43644</v>
      </c>
      <c r="I897" s="18">
        <v>65000</v>
      </c>
      <c r="J897" s="19">
        <v>0</v>
      </c>
      <c r="L897" s="16" t="s">
        <v>38</v>
      </c>
      <c r="M897" s="16" t="s">
        <v>4206</v>
      </c>
      <c r="N897" s="16" t="s">
        <v>4207</v>
      </c>
    </row>
    <row r="898" spans="1:14" ht="20.100000000000001" customHeight="1" x14ac:dyDescent="0.25">
      <c r="A898" s="15" t="s">
        <v>4208</v>
      </c>
      <c r="B898" s="16" t="s">
        <v>239</v>
      </c>
      <c r="C898" s="15">
        <v>8402307</v>
      </c>
      <c r="D898" s="16" t="s">
        <v>151</v>
      </c>
      <c r="E898" s="15" t="s">
        <v>4209</v>
      </c>
      <c r="F898" s="21" t="str">
        <f>HYPERLINK("https://psearch.kitsapgov.com/webappa/index.html?parcelID=2420925&amp;Theme=Imagery","2420925")</f>
        <v>2420925</v>
      </c>
      <c r="G898" s="16" t="s">
        <v>4210</v>
      </c>
      <c r="H898" s="17">
        <v>43643</v>
      </c>
      <c r="I898" s="18">
        <v>2050000</v>
      </c>
      <c r="J898" s="19">
        <v>1.0900000000000001</v>
      </c>
      <c r="K898" s="16" t="s">
        <v>333</v>
      </c>
      <c r="L898" s="16" t="s">
        <v>38</v>
      </c>
      <c r="M898" s="16" t="s">
        <v>4211</v>
      </c>
      <c r="N898" s="16" t="s">
        <v>4212</v>
      </c>
    </row>
    <row r="899" spans="1:14" ht="20.100000000000001" customHeight="1" x14ac:dyDescent="0.25">
      <c r="A899" s="15" t="s">
        <v>4213</v>
      </c>
      <c r="B899" s="16" t="s">
        <v>239</v>
      </c>
      <c r="C899" s="15">
        <v>8402307</v>
      </c>
      <c r="D899" s="16" t="s">
        <v>151</v>
      </c>
      <c r="E899" s="15" t="s">
        <v>4209</v>
      </c>
      <c r="F899" s="21" t="str">
        <f>HYPERLINK("https://psearch.kitsapgov.com/webappa/index.html?parcelID=2420925&amp;Theme=Imagery","2420925")</f>
        <v>2420925</v>
      </c>
      <c r="G899" s="16" t="s">
        <v>4210</v>
      </c>
      <c r="H899" s="17">
        <v>43643</v>
      </c>
      <c r="I899" s="18">
        <v>2824486</v>
      </c>
      <c r="J899" s="19">
        <v>1.0900000000000001</v>
      </c>
      <c r="K899" s="16" t="s">
        <v>333</v>
      </c>
      <c r="L899" s="16" t="s">
        <v>38</v>
      </c>
      <c r="M899" s="16" t="s">
        <v>4214</v>
      </c>
      <c r="N899" s="16" t="s">
        <v>4215</v>
      </c>
    </row>
    <row r="900" spans="1:14" ht="20.100000000000001" customHeight="1" x14ac:dyDescent="0.25">
      <c r="A900" s="15" t="s">
        <v>4216</v>
      </c>
      <c r="B900" s="16" t="s">
        <v>4195</v>
      </c>
      <c r="C900" s="15">
        <v>8400203</v>
      </c>
      <c r="D900" s="16" t="s">
        <v>97</v>
      </c>
      <c r="E900" s="15" t="s">
        <v>4217</v>
      </c>
      <c r="F900" s="21" t="str">
        <f>HYPERLINK("https://psearch.kitsapgov.com/webappa/index.html?parcelID=1334598&amp;Theme=Imagery","1334598")</f>
        <v>1334598</v>
      </c>
      <c r="G900" s="16" t="s">
        <v>4218</v>
      </c>
      <c r="H900" s="17">
        <v>43657</v>
      </c>
      <c r="I900" s="18">
        <v>1041000</v>
      </c>
      <c r="J900" s="19">
        <v>0.64</v>
      </c>
      <c r="K900" s="16" t="s">
        <v>100</v>
      </c>
      <c r="L900" s="16" t="s">
        <v>38</v>
      </c>
      <c r="M900" s="16" t="s">
        <v>4219</v>
      </c>
      <c r="N900" s="16" t="s">
        <v>4220</v>
      </c>
    </row>
    <row r="901" spans="1:14" ht="20.100000000000001" customHeight="1" x14ac:dyDescent="0.25">
      <c r="A901" s="15" t="s">
        <v>4221</v>
      </c>
      <c r="B901" s="16" t="s">
        <v>239</v>
      </c>
      <c r="C901" s="15">
        <v>8400201</v>
      </c>
      <c r="D901" s="16" t="s">
        <v>941</v>
      </c>
      <c r="E901" s="15" t="s">
        <v>4222</v>
      </c>
      <c r="F901" s="21" t="str">
        <f>HYPERLINK("https://psearch.kitsapgov.com/webappa/index.html?parcelID=2002798&amp;Theme=Imagery","2002798")</f>
        <v>2002798</v>
      </c>
      <c r="G901" s="16" t="s">
        <v>4223</v>
      </c>
      <c r="H901" s="17">
        <v>43658</v>
      </c>
      <c r="I901" s="18">
        <v>575000</v>
      </c>
      <c r="J901" s="19">
        <v>0.06</v>
      </c>
      <c r="K901" s="16" t="s">
        <v>944</v>
      </c>
      <c r="L901" s="16" t="s">
        <v>20</v>
      </c>
      <c r="M901" s="16" t="s">
        <v>4224</v>
      </c>
      <c r="N901" s="16" t="s">
        <v>4225</v>
      </c>
    </row>
    <row r="902" spans="1:14" ht="20.100000000000001" customHeight="1" x14ac:dyDescent="0.25">
      <c r="A902" s="15" t="s">
        <v>4226</v>
      </c>
      <c r="B902" s="16" t="s">
        <v>214</v>
      </c>
      <c r="C902" s="15">
        <v>9100541</v>
      </c>
      <c r="D902" s="16" t="s">
        <v>215</v>
      </c>
      <c r="E902" s="15" t="s">
        <v>388</v>
      </c>
      <c r="F902" s="21" t="str">
        <f>HYPERLINK("https://psearch.kitsapgov.com/webappa/index.html?parcelID=1467588&amp;Theme=Imagery","1467588")</f>
        <v>1467588</v>
      </c>
      <c r="G902" s="16" t="s">
        <v>389</v>
      </c>
      <c r="H902" s="17">
        <v>43657</v>
      </c>
      <c r="I902" s="18">
        <v>905000</v>
      </c>
      <c r="J902" s="19">
        <v>0.21</v>
      </c>
      <c r="K902" s="16" t="s">
        <v>235</v>
      </c>
      <c r="L902" s="16" t="s">
        <v>38</v>
      </c>
      <c r="M902" s="16" t="s">
        <v>391</v>
      </c>
      <c r="N902" s="16" t="s">
        <v>4227</v>
      </c>
    </row>
    <row r="903" spans="1:14" ht="20.100000000000001" customHeight="1" x14ac:dyDescent="0.25">
      <c r="A903" s="15" t="s">
        <v>4228</v>
      </c>
      <c r="B903" s="16" t="s">
        <v>57</v>
      </c>
      <c r="C903" s="15">
        <v>8400207</v>
      </c>
      <c r="D903" s="16" t="s">
        <v>998</v>
      </c>
      <c r="E903" s="15" t="s">
        <v>4229</v>
      </c>
      <c r="F903" s="21" t="str">
        <f>HYPERLINK("https://psearch.kitsapgov.com/webappa/index.html?parcelID=2457224&amp;Theme=Imagery","2457224")</f>
        <v>2457224</v>
      </c>
      <c r="G903" s="16" t="s">
        <v>4230</v>
      </c>
      <c r="H903" s="17">
        <v>43657</v>
      </c>
      <c r="I903" s="18">
        <v>112000</v>
      </c>
      <c r="J903" s="19">
        <v>0.43</v>
      </c>
      <c r="K903" s="16" t="s">
        <v>3537</v>
      </c>
      <c r="L903" s="16" t="s">
        <v>38</v>
      </c>
      <c r="M903" s="16" t="s">
        <v>4231</v>
      </c>
      <c r="N903" s="16" t="s">
        <v>4232</v>
      </c>
    </row>
    <row r="904" spans="1:14" ht="20.100000000000001" customHeight="1" x14ac:dyDescent="0.25">
      <c r="A904" s="15" t="s">
        <v>4233</v>
      </c>
      <c r="B904" s="16" t="s">
        <v>214</v>
      </c>
      <c r="C904" s="15">
        <v>9100541</v>
      </c>
      <c r="D904" s="16" t="s">
        <v>215</v>
      </c>
      <c r="E904" s="15" t="s">
        <v>4234</v>
      </c>
      <c r="F904" s="21" t="str">
        <f>HYPERLINK("https://psearch.kitsapgov.com/webappa/index.html?parcelID=1446343&amp;Theme=Imagery","1446343")</f>
        <v>1446343</v>
      </c>
      <c r="G904" s="16" t="s">
        <v>4235</v>
      </c>
      <c r="H904" s="17">
        <v>43663</v>
      </c>
      <c r="I904" s="18">
        <v>525000</v>
      </c>
      <c r="J904" s="19">
        <v>0.08</v>
      </c>
      <c r="K904" s="16" t="s">
        <v>235</v>
      </c>
      <c r="L904" s="16" t="s">
        <v>38</v>
      </c>
      <c r="M904" s="16" t="s">
        <v>4236</v>
      </c>
      <c r="N904" s="16" t="s">
        <v>4237</v>
      </c>
    </row>
    <row r="905" spans="1:14" ht="20.100000000000001" customHeight="1" x14ac:dyDescent="0.25">
      <c r="A905" s="15" t="s">
        <v>4238</v>
      </c>
      <c r="B905" s="16" t="s">
        <v>286</v>
      </c>
      <c r="C905" s="15">
        <v>8400206</v>
      </c>
      <c r="D905" s="16" t="s">
        <v>287</v>
      </c>
      <c r="E905" s="15" t="s">
        <v>4239</v>
      </c>
      <c r="F905" s="21" t="str">
        <f>HYPERLINK("https://psearch.kitsapgov.com/webappa/index.html?parcelID=2071447&amp;Theme=Imagery","2071447")</f>
        <v>2071447</v>
      </c>
      <c r="G905" s="16" t="s">
        <v>289</v>
      </c>
      <c r="H905" s="17">
        <v>43670</v>
      </c>
      <c r="I905" s="18">
        <v>32000</v>
      </c>
      <c r="J905" s="19">
        <v>0</v>
      </c>
      <c r="L905" s="16" t="s">
        <v>38</v>
      </c>
      <c r="M905" s="16" t="s">
        <v>4240</v>
      </c>
      <c r="N905" s="16" t="s">
        <v>4241</v>
      </c>
    </row>
    <row r="906" spans="1:14" ht="20.100000000000001" customHeight="1" x14ac:dyDescent="0.25">
      <c r="A906" s="15" t="s">
        <v>4242</v>
      </c>
      <c r="B906" s="16" t="s">
        <v>57</v>
      </c>
      <c r="C906" s="15">
        <v>8401101</v>
      </c>
      <c r="D906" s="16" t="s">
        <v>185</v>
      </c>
      <c r="E906" s="15" t="s">
        <v>4243</v>
      </c>
      <c r="F906" s="21" t="str">
        <f>HYPERLINK("https://psearch.kitsapgov.com/webappa/index.html?parcelID=2417996&amp;Theme=Imagery","2417996")</f>
        <v>2417996</v>
      </c>
      <c r="G906" s="16" t="s">
        <v>4244</v>
      </c>
      <c r="H906" s="17">
        <v>43665</v>
      </c>
      <c r="I906" s="18">
        <v>640000</v>
      </c>
      <c r="J906" s="19">
        <v>1.0900000000000001</v>
      </c>
      <c r="K906" s="16" t="s">
        <v>188</v>
      </c>
      <c r="L906" s="16" t="s">
        <v>38</v>
      </c>
      <c r="M906" s="16" t="s">
        <v>4245</v>
      </c>
      <c r="N906" s="16" t="s">
        <v>4246</v>
      </c>
    </row>
    <row r="907" spans="1:14" ht="20.100000000000001" customHeight="1" x14ac:dyDescent="0.25">
      <c r="A907" s="15" t="s">
        <v>4247</v>
      </c>
      <c r="B907" s="16" t="s">
        <v>306</v>
      </c>
      <c r="C907" s="15">
        <v>8400202</v>
      </c>
      <c r="D907" s="16" t="s">
        <v>158</v>
      </c>
      <c r="E907" s="15" t="s">
        <v>4248</v>
      </c>
      <c r="F907" s="21" t="str">
        <f>HYPERLINK("https://psearch.kitsapgov.com/webappa/index.html?parcelID=2065654&amp;Theme=Imagery","2065654")</f>
        <v>2065654</v>
      </c>
      <c r="G907" s="16" t="s">
        <v>4249</v>
      </c>
      <c r="H907" s="17">
        <v>43671</v>
      </c>
      <c r="I907" s="18">
        <v>1275000</v>
      </c>
      <c r="J907" s="19">
        <v>0.81</v>
      </c>
      <c r="K907" s="16" t="s">
        <v>100</v>
      </c>
      <c r="L907" s="16" t="s">
        <v>20</v>
      </c>
      <c r="M907" s="16" t="s">
        <v>4250</v>
      </c>
      <c r="N907" s="16" t="s">
        <v>4251</v>
      </c>
    </row>
    <row r="908" spans="1:14" ht="20.100000000000001" customHeight="1" x14ac:dyDescent="0.25">
      <c r="A908" s="15" t="s">
        <v>4252</v>
      </c>
      <c r="B908" s="16" t="s">
        <v>286</v>
      </c>
      <c r="C908" s="15">
        <v>8303660</v>
      </c>
      <c r="D908" s="16" t="s">
        <v>313</v>
      </c>
      <c r="E908" s="15" t="s">
        <v>4253</v>
      </c>
      <c r="F908" s="21" t="str">
        <f>HYPERLINK("https://psearch.kitsapgov.com/webappa/index.html?parcelID=1883404&amp;Theme=Imagery","1883404")</f>
        <v>1883404</v>
      </c>
      <c r="G908" s="16" t="s">
        <v>4254</v>
      </c>
      <c r="H908" s="17">
        <v>43662</v>
      </c>
      <c r="I908" s="18">
        <v>85714</v>
      </c>
      <c r="J908" s="19">
        <v>0</v>
      </c>
      <c r="L908" s="16" t="s">
        <v>38</v>
      </c>
      <c r="M908" s="16" t="s">
        <v>4255</v>
      </c>
      <c r="N908" s="16" t="s">
        <v>4256</v>
      </c>
    </row>
    <row r="909" spans="1:14" ht="20.100000000000001" customHeight="1" x14ac:dyDescent="0.25">
      <c r="A909" s="15" t="s">
        <v>4257</v>
      </c>
      <c r="B909" s="16" t="s">
        <v>347</v>
      </c>
      <c r="C909" s="15">
        <v>9100592</v>
      </c>
      <c r="D909" s="16" t="s">
        <v>105</v>
      </c>
      <c r="E909" s="15" t="s">
        <v>4258</v>
      </c>
      <c r="F909" s="21" t="str">
        <f>HYPERLINK("https://psearch.kitsapgov.com/webappa/index.html?parcelID=1135342&amp;Theme=Imagery","1135342")</f>
        <v>1135342</v>
      </c>
      <c r="G909" s="16" t="s">
        <v>4259</v>
      </c>
      <c r="H909" s="17">
        <v>43668</v>
      </c>
      <c r="I909" s="18">
        <v>335000</v>
      </c>
      <c r="J909" s="19">
        <v>0.21</v>
      </c>
      <c r="K909" s="16" t="s">
        <v>108</v>
      </c>
      <c r="L909" s="16" t="s">
        <v>38</v>
      </c>
      <c r="M909" s="16" t="s">
        <v>4260</v>
      </c>
      <c r="N909" s="16" t="s">
        <v>4261</v>
      </c>
    </row>
    <row r="910" spans="1:14" ht="20.100000000000001" customHeight="1" x14ac:dyDescent="0.25">
      <c r="A910" s="15" t="s">
        <v>4262</v>
      </c>
      <c r="B910" s="16" t="s">
        <v>2103</v>
      </c>
      <c r="C910" s="15">
        <v>8100502</v>
      </c>
      <c r="D910" s="16" t="s">
        <v>67</v>
      </c>
      <c r="E910" s="15" t="s">
        <v>4263</v>
      </c>
      <c r="F910" s="21" t="str">
        <f>HYPERLINK("https://psearch.kitsapgov.com/webappa/index.html?parcelID=1429620&amp;Theme=Imagery","1429620")</f>
        <v>1429620</v>
      </c>
      <c r="G910" s="16" t="s">
        <v>4264</v>
      </c>
      <c r="H910" s="17">
        <v>43668</v>
      </c>
      <c r="I910" s="18">
        <v>11900000</v>
      </c>
      <c r="J910" s="19">
        <v>2.62</v>
      </c>
      <c r="K910" s="16" t="s">
        <v>173</v>
      </c>
      <c r="L910" s="16" t="s">
        <v>20</v>
      </c>
      <c r="M910" s="16" t="s">
        <v>2256</v>
      </c>
      <c r="N910" s="16" t="s">
        <v>4265</v>
      </c>
    </row>
    <row r="911" spans="1:14" ht="20.100000000000001" customHeight="1" x14ac:dyDescent="0.25">
      <c r="A911" s="15" t="s">
        <v>4266</v>
      </c>
      <c r="B911" s="16" t="s">
        <v>33</v>
      </c>
      <c r="C911" s="15">
        <v>8100502</v>
      </c>
      <c r="D911" s="16" t="s">
        <v>67</v>
      </c>
      <c r="E911" s="15" t="s">
        <v>4267</v>
      </c>
      <c r="F911" s="21" t="str">
        <f>HYPERLINK("https://psearch.kitsapgov.com/webappa/index.html?parcelID=1126614&amp;Theme=Imagery","1126614")</f>
        <v>1126614</v>
      </c>
      <c r="G911" s="16" t="s">
        <v>4268</v>
      </c>
      <c r="H911" s="17">
        <v>43676</v>
      </c>
      <c r="I911" s="18">
        <v>275000</v>
      </c>
      <c r="J911" s="19">
        <v>0.23</v>
      </c>
      <c r="K911" s="16" t="s">
        <v>85</v>
      </c>
      <c r="L911" s="16" t="s">
        <v>38</v>
      </c>
      <c r="M911" s="16" t="s">
        <v>4269</v>
      </c>
      <c r="N911" s="16" t="s">
        <v>4270</v>
      </c>
    </row>
    <row r="912" spans="1:14" ht="20.100000000000001" customHeight="1" x14ac:dyDescent="0.25">
      <c r="A912" s="15" t="s">
        <v>4271</v>
      </c>
      <c r="B912" s="16" t="s">
        <v>4272</v>
      </c>
      <c r="C912" s="15">
        <v>8401101</v>
      </c>
      <c r="D912" s="16" t="s">
        <v>185</v>
      </c>
      <c r="E912" s="15" t="s">
        <v>4273</v>
      </c>
      <c r="F912" s="21" t="str">
        <f>HYPERLINK("https://psearch.kitsapgov.com/webappa/index.html?parcelID=2195527&amp;Theme=Imagery","2195527")</f>
        <v>2195527</v>
      </c>
      <c r="G912" s="16" t="s">
        <v>4274</v>
      </c>
      <c r="H912" s="17">
        <v>43677</v>
      </c>
      <c r="I912" s="18">
        <v>9100000</v>
      </c>
      <c r="J912" s="19">
        <v>10.29</v>
      </c>
      <c r="K912" s="16" t="s">
        <v>188</v>
      </c>
      <c r="L912" s="16" t="s">
        <v>38</v>
      </c>
      <c r="M912" s="16" t="s">
        <v>4275</v>
      </c>
      <c r="N912" s="16" t="s">
        <v>4276</v>
      </c>
    </row>
    <row r="913" spans="1:14" ht="20.100000000000001" customHeight="1" x14ac:dyDescent="0.25">
      <c r="A913" s="15" t="s">
        <v>4277</v>
      </c>
      <c r="B913" s="16" t="s">
        <v>286</v>
      </c>
      <c r="C913" s="15">
        <v>8303660</v>
      </c>
      <c r="D913" s="16" t="s">
        <v>313</v>
      </c>
      <c r="E913" s="15" t="s">
        <v>4278</v>
      </c>
      <c r="F913" s="21" t="str">
        <f>HYPERLINK("https://psearch.kitsapgov.com/webappa/index.html?parcelID=1881846&amp;Theme=Imagery","1881846")</f>
        <v>1881846</v>
      </c>
      <c r="G913" s="16" t="s">
        <v>4279</v>
      </c>
      <c r="H913" s="17">
        <v>43672</v>
      </c>
      <c r="I913" s="18">
        <v>160000</v>
      </c>
      <c r="J913" s="19">
        <v>0</v>
      </c>
      <c r="L913" s="16" t="s">
        <v>38</v>
      </c>
      <c r="M913" s="16" t="s">
        <v>4280</v>
      </c>
      <c r="N913" s="16" t="s">
        <v>4281</v>
      </c>
    </row>
    <row r="914" spans="1:14" ht="20.100000000000001" customHeight="1" x14ac:dyDescent="0.25">
      <c r="A914" s="15" t="s">
        <v>4282</v>
      </c>
      <c r="B914" s="16" t="s">
        <v>3782</v>
      </c>
      <c r="C914" s="15">
        <v>8401104</v>
      </c>
      <c r="D914" s="16" t="s">
        <v>144</v>
      </c>
      <c r="E914" s="15" t="s">
        <v>4283</v>
      </c>
      <c r="F914" s="21" t="str">
        <f>HYPERLINK("https://psearch.kitsapgov.com/webappa/index.html?parcelID=2494201&amp;Theme=Imagery","2494201")</f>
        <v>2494201</v>
      </c>
      <c r="G914" s="16" t="s">
        <v>4284</v>
      </c>
      <c r="H914" s="17">
        <v>43672</v>
      </c>
      <c r="I914" s="18">
        <v>166250</v>
      </c>
      <c r="J914" s="19">
        <v>0.2</v>
      </c>
      <c r="K914" s="16" t="s">
        <v>61</v>
      </c>
      <c r="L914" s="16" t="s">
        <v>372</v>
      </c>
      <c r="M914" s="16" t="s">
        <v>4285</v>
      </c>
      <c r="N914" s="16" t="s">
        <v>4286</v>
      </c>
    </row>
    <row r="915" spans="1:14" ht="20.100000000000001" customHeight="1" x14ac:dyDescent="0.25">
      <c r="A915" s="15" t="s">
        <v>4287</v>
      </c>
      <c r="B915" s="16" t="s">
        <v>286</v>
      </c>
      <c r="C915" s="15">
        <v>8400206</v>
      </c>
      <c r="D915" s="16" t="s">
        <v>287</v>
      </c>
      <c r="E915" s="15" t="s">
        <v>4288</v>
      </c>
      <c r="F915" s="21" t="str">
        <f>HYPERLINK("https://psearch.kitsapgov.com/webappa/index.html?parcelID=2071736&amp;Theme=Imagery","2071736")</f>
        <v>2071736</v>
      </c>
      <c r="G915" s="16" t="s">
        <v>609</v>
      </c>
      <c r="H915" s="17">
        <v>43677</v>
      </c>
      <c r="I915" s="18">
        <v>10000</v>
      </c>
      <c r="J915" s="19">
        <v>0</v>
      </c>
      <c r="L915" s="16" t="s">
        <v>38</v>
      </c>
      <c r="M915" s="16" t="s">
        <v>4289</v>
      </c>
      <c r="N915" s="16" t="s">
        <v>4290</v>
      </c>
    </row>
    <row r="916" spans="1:14" ht="20.100000000000001" customHeight="1" x14ac:dyDescent="0.25">
      <c r="A916" s="15" t="s">
        <v>4291</v>
      </c>
      <c r="B916" s="16" t="s">
        <v>407</v>
      </c>
      <c r="C916" s="15">
        <v>8303601</v>
      </c>
      <c r="D916" s="16" t="s">
        <v>50</v>
      </c>
      <c r="E916" s="15" t="s">
        <v>4292</v>
      </c>
      <c r="F916" s="21" t="str">
        <f>HYPERLINK("https://psearch.kitsapgov.com/webappa/index.html?parcelID=2640126&amp;Theme=Imagery","2640126")</f>
        <v>2640126</v>
      </c>
      <c r="G916" s="16" t="s">
        <v>4293</v>
      </c>
      <c r="H916" s="17">
        <v>43675</v>
      </c>
      <c r="I916" s="18">
        <v>290000</v>
      </c>
      <c r="J916" s="19">
        <v>0</v>
      </c>
      <c r="L916" s="16" t="s">
        <v>38</v>
      </c>
      <c r="M916" s="16" t="s">
        <v>4294</v>
      </c>
      <c r="N916" s="16" t="s">
        <v>4295</v>
      </c>
    </row>
    <row r="917" spans="1:14" ht="20.100000000000001" customHeight="1" x14ac:dyDescent="0.25">
      <c r="A917" s="15" t="s">
        <v>4296</v>
      </c>
      <c r="B917" s="16" t="s">
        <v>57</v>
      </c>
      <c r="C917" s="15">
        <v>8400302</v>
      </c>
      <c r="D917" s="16" t="s">
        <v>133</v>
      </c>
      <c r="E917" s="15" t="s">
        <v>4297</v>
      </c>
      <c r="F917" s="21" t="str">
        <f>HYPERLINK("https://psearch.kitsapgov.com/webappa/index.html?parcelID=1995505&amp;Theme=Imagery","1995505")</f>
        <v>1995505</v>
      </c>
      <c r="G917" s="16" t="s">
        <v>4298</v>
      </c>
      <c r="H917" s="17">
        <v>43683</v>
      </c>
      <c r="I917" s="18">
        <v>450000</v>
      </c>
      <c r="J917" s="19">
        <v>2.5</v>
      </c>
      <c r="K917" s="16" t="s">
        <v>136</v>
      </c>
      <c r="L917" s="16" t="s">
        <v>20</v>
      </c>
      <c r="M917" s="16" t="s">
        <v>4299</v>
      </c>
      <c r="N917" s="16" t="s">
        <v>1362</v>
      </c>
    </row>
    <row r="918" spans="1:14" ht="20.100000000000001" customHeight="1" x14ac:dyDescent="0.25">
      <c r="A918" s="15" t="s">
        <v>4300</v>
      </c>
      <c r="B918" s="16" t="s">
        <v>688</v>
      </c>
      <c r="C918" s="15">
        <v>8100502</v>
      </c>
      <c r="D918" s="16" t="s">
        <v>67</v>
      </c>
      <c r="E918" s="15" t="s">
        <v>4301</v>
      </c>
      <c r="F918" s="21" t="str">
        <f>HYPERLINK("https://psearch.kitsapgov.com/webappa/index.html?parcelID=1443449&amp;Theme=Imagery","1443449")</f>
        <v>1443449</v>
      </c>
      <c r="G918" s="16" t="s">
        <v>4302</v>
      </c>
      <c r="H918" s="17">
        <v>43635</v>
      </c>
      <c r="I918" s="18">
        <v>3800000</v>
      </c>
      <c r="J918" s="19">
        <v>0.56999999999999995</v>
      </c>
      <c r="K918" s="16" t="s">
        <v>85</v>
      </c>
      <c r="L918" s="16" t="s">
        <v>20</v>
      </c>
      <c r="M918" s="16" t="s">
        <v>4303</v>
      </c>
      <c r="N918" s="16" t="s">
        <v>4304</v>
      </c>
    </row>
    <row r="919" spans="1:14" ht="20.100000000000001" customHeight="1" x14ac:dyDescent="0.25">
      <c r="A919" s="15" t="s">
        <v>4305</v>
      </c>
      <c r="B919" s="16" t="s">
        <v>1353</v>
      </c>
      <c r="C919" s="15">
        <v>8402307</v>
      </c>
      <c r="D919" s="16" t="s">
        <v>151</v>
      </c>
      <c r="E919" s="15" t="s">
        <v>4306</v>
      </c>
      <c r="F919" s="21" t="str">
        <f>HYPERLINK("https://psearch.kitsapgov.com/webappa/index.html?parcelID=1210137&amp;Theme=Imagery","1210137")</f>
        <v>1210137</v>
      </c>
      <c r="G919" s="16" t="s">
        <v>4307</v>
      </c>
      <c r="H919" s="17">
        <v>43684</v>
      </c>
      <c r="I919" s="18">
        <v>327000</v>
      </c>
      <c r="J919" s="19">
        <v>0.24</v>
      </c>
      <c r="K919" s="16" t="s">
        <v>78</v>
      </c>
      <c r="L919" s="16" t="s">
        <v>38</v>
      </c>
      <c r="M919" s="16" t="s">
        <v>4308</v>
      </c>
      <c r="N919" s="16" t="s">
        <v>4309</v>
      </c>
    </row>
    <row r="920" spans="1:14" ht="20.100000000000001" customHeight="1" x14ac:dyDescent="0.25">
      <c r="A920" s="15" t="s">
        <v>4310</v>
      </c>
      <c r="B920" s="16" t="s">
        <v>49</v>
      </c>
      <c r="C920" s="15">
        <v>9401591</v>
      </c>
      <c r="D920" s="16" t="s">
        <v>1960</v>
      </c>
      <c r="E920" s="15" t="s">
        <v>4311</v>
      </c>
      <c r="F920" s="21" t="str">
        <f>HYPERLINK("https://psearch.kitsapgov.com/webappa/index.html?parcelID=1981372&amp;Theme=Imagery","1981372")</f>
        <v>1981372</v>
      </c>
      <c r="G920" s="16" t="s">
        <v>4312</v>
      </c>
      <c r="H920" s="17">
        <v>43685</v>
      </c>
      <c r="I920" s="18">
        <v>325000</v>
      </c>
      <c r="J920" s="19">
        <v>1.96</v>
      </c>
      <c r="K920" s="16" t="s">
        <v>78</v>
      </c>
      <c r="L920" s="16" t="s">
        <v>38</v>
      </c>
      <c r="M920" s="16" t="s">
        <v>2882</v>
      </c>
      <c r="N920" s="16" t="s">
        <v>2883</v>
      </c>
    </row>
    <row r="921" spans="1:14" ht="20.100000000000001" customHeight="1" x14ac:dyDescent="0.25">
      <c r="A921" s="15" t="s">
        <v>4313</v>
      </c>
      <c r="B921" s="16" t="s">
        <v>688</v>
      </c>
      <c r="C921" s="15">
        <v>8401508</v>
      </c>
      <c r="D921" s="16" t="s">
        <v>90</v>
      </c>
      <c r="E921" s="15" t="s">
        <v>4314</v>
      </c>
      <c r="F921" s="21" t="str">
        <f>HYPERLINK("https://psearch.kitsapgov.com/webappa/index.html?parcelID=2264901&amp;Theme=Imagery","2264901")</f>
        <v>2264901</v>
      </c>
      <c r="G921" s="16" t="s">
        <v>4315</v>
      </c>
      <c r="H921" s="17">
        <v>43686</v>
      </c>
      <c r="I921" s="18">
        <v>3300000</v>
      </c>
      <c r="J921" s="19">
        <v>1.19</v>
      </c>
      <c r="K921" s="16" t="s">
        <v>78</v>
      </c>
      <c r="L921" s="16" t="s">
        <v>20</v>
      </c>
      <c r="M921" s="16" t="s">
        <v>4316</v>
      </c>
      <c r="N921" s="16" t="s">
        <v>4317</v>
      </c>
    </row>
    <row r="922" spans="1:14" ht="20.100000000000001" customHeight="1" x14ac:dyDescent="0.25">
      <c r="A922" s="15" t="s">
        <v>4318</v>
      </c>
      <c r="B922" s="16" t="s">
        <v>286</v>
      </c>
      <c r="C922" s="15">
        <v>8400206</v>
      </c>
      <c r="D922" s="16" t="s">
        <v>287</v>
      </c>
      <c r="E922" s="15" t="s">
        <v>4319</v>
      </c>
      <c r="F922" s="21" t="str">
        <f>HYPERLINK("https://psearch.kitsapgov.com/webappa/index.html?parcelID=2071231&amp;Theme=Imagery","2071231")</f>
        <v>2071231</v>
      </c>
      <c r="G922" s="16" t="s">
        <v>4320</v>
      </c>
      <c r="H922" s="17">
        <v>43691</v>
      </c>
      <c r="I922" s="18">
        <v>25000</v>
      </c>
      <c r="J922" s="19">
        <v>0</v>
      </c>
      <c r="L922" s="16" t="s">
        <v>290</v>
      </c>
      <c r="M922" s="16" t="s">
        <v>4321</v>
      </c>
      <c r="N922" s="16" t="s">
        <v>4322</v>
      </c>
    </row>
    <row r="923" spans="1:14" ht="20.100000000000001" customHeight="1" x14ac:dyDescent="0.25">
      <c r="A923" s="15" t="s">
        <v>4323</v>
      </c>
      <c r="B923" s="16" t="s">
        <v>368</v>
      </c>
      <c r="C923" s="15">
        <v>8402403</v>
      </c>
      <c r="D923" s="16" t="s">
        <v>165</v>
      </c>
      <c r="E923" s="15" t="s">
        <v>4324</v>
      </c>
      <c r="F923" s="21" t="str">
        <f>HYPERLINK("https://psearch.kitsapgov.com/webappa/index.html?parcelID=1201128&amp;Theme=Imagery","1201128")</f>
        <v>1201128</v>
      </c>
      <c r="G923" s="16" t="s">
        <v>4325</v>
      </c>
      <c r="H923" s="17">
        <v>43696</v>
      </c>
      <c r="I923" s="18">
        <v>280000</v>
      </c>
      <c r="J923" s="19">
        <v>0.16</v>
      </c>
      <c r="K923" s="16" t="s">
        <v>4059</v>
      </c>
      <c r="L923" s="16" t="s">
        <v>38</v>
      </c>
      <c r="M923" s="16" t="s">
        <v>4326</v>
      </c>
      <c r="N923" s="16" t="s">
        <v>4327</v>
      </c>
    </row>
    <row r="924" spans="1:14" ht="20.100000000000001" customHeight="1" x14ac:dyDescent="0.25">
      <c r="A924" s="15" t="s">
        <v>4328</v>
      </c>
      <c r="B924" s="16" t="s">
        <v>33</v>
      </c>
      <c r="C924" s="15">
        <v>8401102</v>
      </c>
      <c r="D924" s="16" t="s">
        <v>766</v>
      </c>
      <c r="E924" s="15" t="s">
        <v>3245</v>
      </c>
      <c r="F924" s="21" t="str">
        <f>HYPERLINK("https://psearch.kitsapgov.com/webappa/index.html?parcelID=1659168&amp;Theme=Imagery","1659168")</f>
        <v>1659168</v>
      </c>
      <c r="G924" s="16" t="s">
        <v>3246</v>
      </c>
      <c r="H924" s="17">
        <v>43686</v>
      </c>
      <c r="I924" s="18">
        <v>417400</v>
      </c>
      <c r="J924" s="19">
        <v>0.11</v>
      </c>
      <c r="K924" s="16" t="s">
        <v>188</v>
      </c>
      <c r="L924" s="16" t="s">
        <v>38</v>
      </c>
      <c r="M924" s="16" t="s">
        <v>4329</v>
      </c>
      <c r="N924" s="16" t="s">
        <v>4155</v>
      </c>
    </row>
    <row r="925" spans="1:14" ht="20.100000000000001" customHeight="1" x14ac:dyDescent="0.25">
      <c r="A925" s="15" t="s">
        <v>4330</v>
      </c>
      <c r="B925" s="16" t="s">
        <v>688</v>
      </c>
      <c r="C925" s="15">
        <v>8402307</v>
      </c>
      <c r="D925" s="16" t="s">
        <v>151</v>
      </c>
      <c r="E925" s="15" t="s">
        <v>3103</v>
      </c>
      <c r="F925" s="21" t="str">
        <f>HYPERLINK("https://psearch.kitsapgov.com/webappa/index.html?parcelID=2075299&amp;Theme=Imagery","2075299")</f>
        <v>2075299</v>
      </c>
      <c r="G925" s="16" t="s">
        <v>3104</v>
      </c>
      <c r="H925" s="17">
        <v>43686</v>
      </c>
      <c r="I925" s="18">
        <v>2500000</v>
      </c>
      <c r="J925" s="19">
        <v>0.72</v>
      </c>
      <c r="K925" s="16" t="s">
        <v>333</v>
      </c>
      <c r="L925" s="16" t="s">
        <v>20</v>
      </c>
      <c r="M925" s="16" t="s">
        <v>3106</v>
      </c>
      <c r="N925" s="16" t="s">
        <v>4331</v>
      </c>
    </row>
    <row r="926" spans="1:14" ht="20.100000000000001" customHeight="1" x14ac:dyDescent="0.25">
      <c r="A926" s="15" t="s">
        <v>4332</v>
      </c>
      <c r="B926" s="16" t="s">
        <v>239</v>
      </c>
      <c r="C926" s="15">
        <v>8402308</v>
      </c>
      <c r="D926" s="16" t="s">
        <v>75</v>
      </c>
      <c r="E926" s="15" t="s">
        <v>670</v>
      </c>
      <c r="F926" s="21" t="str">
        <f>HYPERLINK("https://psearch.kitsapgov.com/webappa/index.html?parcelID=1690478&amp;Theme=Imagery","1690478")</f>
        <v>1690478</v>
      </c>
      <c r="G926" s="16" t="s">
        <v>671</v>
      </c>
      <c r="H926" s="17">
        <v>43692</v>
      </c>
      <c r="I926" s="18">
        <v>925000</v>
      </c>
      <c r="J926" s="19">
        <v>1.29</v>
      </c>
      <c r="K926" s="16" t="s">
        <v>672</v>
      </c>
      <c r="L926" s="16" t="s">
        <v>38</v>
      </c>
      <c r="M926" s="16" t="s">
        <v>674</v>
      </c>
      <c r="N926" s="16" t="s">
        <v>4333</v>
      </c>
    </row>
    <row r="927" spans="1:14" ht="20.100000000000001" customHeight="1" x14ac:dyDescent="0.25">
      <c r="A927" s="15" t="s">
        <v>4334</v>
      </c>
      <c r="B927" s="16" t="s">
        <v>330</v>
      </c>
      <c r="C927" s="15">
        <v>8100501</v>
      </c>
      <c r="D927" s="16" t="s">
        <v>117</v>
      </c>
      <c r="E927" s="15" t="s">
        <v>4335</v>
      </c>
      <c r="F927" s="21" t="str">
        <f>HYPERLINK("https://psearch.kitsapgov.com/webappa/index.html?parcelID=2637429&amp;Theme=Imagery","2637429")</f>
        <v>2637429</v>
      </c>
      <c r="G927" s="16" t="s">
        <v>4336</v>
      </c>
      <c r="H927" s="17">
        <v>43699</v>
      </c>
      <c r="I927" s="18">
        <v>14730000</v>
      </c>
      <c r="J927" s="19">
        <v>2.2000000000000002</v>
      </c>
      <c r="K927" s="16" t="s">
        <v>4337</v>
      </c>
      <c r="L927" s="16" t="s">
        <v>4338</v>
      </c>
      <c r="M927" s="16" t="s">
        <v>4339</v>
      </c>
      <c r="N927" s="16" t="s">
        <v>4340</v>
      </c>
    </row>
    <row r="928" spans="1:14" ht="20.100000000000001" customHeight="1" x14ac:dyDescent="0.25">
      <c r="A928" s="15" t="s">
        <v>4341</v>
      </c>
      <c r="B928" s="16" t="s">
        <v>89</v>
      </c>
      <c r="C928" s="15">
        <v>8100502</v>
      </c>
      <c r="D928" s="16" t="s">
        <v>67</v>
      </c>
      <c r="E928" s="15" t="s">
        <v>4342</v>
      </c>
      <c r="F928" s="21" t="str">
        <f>HYPERLINK("https://psearch.kitsapgov.com/webappa/index.html?parcelID=2330447&amp;Theme=Imagery","2330447")</f>
        <v>2330447</v>
      </c>
      <c r="G928" s="16" t="s">
        <v>4343</v>
      </c>
      <c r="H928" s="17">
        <v>43682</v>
      </c>
      <c r="I928" s="18">
        <v>1240000</v>
      </c>
      <c r="J928" s="19">
        <v>0.4</v>
      </c>
      <c r="K928" s="16" t="s">
        <v>85</v>
      </c>
      <c r="L928" s="16" t="s">
        <v>38</v>
      </c>
      <c r="M928" s="16" t="s">
        <v>4344</v>
      </c>
      <c r="N928" s="16" t="s">
        <v>4345</v>
      </c>
    </row>
    <row r="929" spans="1:14" ht="20.100000000000001" customHeight="1" x14ac:dyDescent="0.25">
      <c r="A929" s="15" t="s">
        <v>4346</v>
      </c>
      <c r="B929" s="16" t="s">
        <v>442</v>
      </c>
      <c r="C929" s="15">
        <v>8100506</v>
      </c>
      <c r="D929" s="16" t="s">
        <v>25</v>
      </c>
      <c r="E929" s="15" t="s">
        <v>4347</v>
      </c>
      <c r="F929" s="21" t="str">
        <f>HYPERLINK("https://psearch.kitsapgov.com/webappa/index.html?parcelID=1920008&amp;Theme=Imagery","1920008")</f>
        <v>1920008</v>
      </c>
      <c r="G929" s="16" t="s">
        <v>4348</v>
      </c>
      <c r="H929" s="17">
        <v>43706</v>
      </c>
      <c r="I929" s="18">
        <v>550000</v>
      </c>
      <c r="J929" s="19">
        <v>0.64</v>
      </c>
      <c r="K929" s="16" t="s">
        <v>85</v>
      </c>
      <c r="L929" s="16" t="s">
        <v>20</v>
      </c>
      <c r="M929" s="16" t="s">
        <v>4349</v>
      </c>
      <c r="N929" s="16" t="s">
        <v>4350</v>
      </c>
    </row>
    <row r="930" spans="1:14" ht="20.100000000000001" customHeight="1" x14ac:dyDescent="0.25">
      <c r="A930" s="15" t="s">
        <v>4351</v>
      </c>
      <c r="B930" s="16" t="s">
        <v>89</v>
      </c>
      <c r="C930" s="15">
        <v>8401104</v>
      </c>
      <c r="D930" s="16" t="s">
        <v>144</v>
      </c>
      <c r="E930" s="15" t="s">
        <v>4352</v>
      </c>
      <c r="F930" s="21" t="str">
        <f>HYPERLINK("https://psearch.kitsapgov.com/webappa/index.html?parcelID=1115799&amp;Theme=Imagery","1115799")</f>
        <v>1115799</v>
      </c>
      <c r="G930" s="16" t="s">
        <v>4353</v>
      </c>
      <c r="H930" s="17">
        <v>43706</v>
      </c>
      <c r="I930" s="18">
        <v>180000</v>
      </c>
      <c r="J930" s="19">
        <v>0.41</v>
      </c>
      <c r="K930" s="16" t="s">
        <v>194</v>
      </c>
      <c r="L930" s="16" t="s">
        <v>680</v>
      </c>
      <c r="M930" s="16" t="s">
        <v>4354</v>
      </c>
      <c r="N930" s="16" t="s">
        <v>4355</v>
      </c>
    </row>
    <row r="931" spans="1:14" ht="20.100000000000001" customHeight="1" x14ac:dyDescent="0.25">
      <c r="A931" s="15" t="s">
        <v>4356</v>
      </c>
      <c r="B931" s="16" t="s">
        <v>286</v>
      </c>
      <c r="C931" s="15">
        <v>8400206</v>
      </c>
      <c r="D931" s="16" t="s">
        <v>287</v>
      </c>
      <c r="E931" s="15" t="s">
        <v>4357</v>
      </c>
      <c r="F931" s="21" t="str">
        <f>HYPERLINK("https://psearch.kitsapgov.com/webappa/index.html?parcelID=2071694&amp;Theme=Imagery","2071694")</f>
        <v>2071694</v>
      </c>
      <c r="G931" s="16" t="s">
        <v>609</v>
      </c>
      <c r="H931" s="17">
        <v>43703</v>
      </c>
      <c r="I931" s="18">
        <v>10000</v>
      </c>
      <c r="J931" s="19">
        <v>0</v>
      </c>
      <c r="L931" s="16" t="s">
        <v>38</v>
      </c>
      <c r="M931" s="16" t="s">
        <v>4358</v>
      </c>
      <c r="N931" s="16" t="s">
        <v>4359</v>
      </c>
    </row>
    <row r="932" spans="1:14" ht="20.100000000000001" customHeight="1" x14ac:dyDescent="0.25">
      <c r="A932" s="15" t="s">
        <v>4360</v>
      </c>
      <c r="B932" s="16" t="s">
        <v>628</v>
      </c>
      <c r="C932" s="15">
        <v>9402402</v>
      </c>
      <c r="D932" s="16" t="s">
        <v>1382</v>
      </c>
      <c r="E932" s="15" t="s">
        <v>4361</v>
      </c>
      <c r="F932" s="21" t="str">
        <f>HYPERLINK("https://psearch.kitsapgov.com/webappa/index.html?parcelID=1090026&amp;Theme=Imagery","1090026")</f>
        <v>1090026</v>
      </c>
      <c r="G932" s="16" t="s">
        <v>4362</v>
      </c>
      <c r="H932" s="17">
        <v>43683</v>
      </c>
      <c r="I932" s="18">
        <v>1000</v>
      </c>
      <c r="J932" s="19">
        <v>3.83</v>
      </c>
      <c r="K932" s="16" t="s">
        <v>128</v>
      </c>
      <c r="L932" s="16" t="s">
        <v>542</v>
      </c>
      <c r="M932" s="16" t="s">
        <v>4363</v>
      </c>
      <c r="N932" s="16" t="s">
        <v>4364</v>
      </c>
    </row>
    <row r="933" spans="1:14" ht="20.100000000000001" customHeight="1" x14ac:dyDescent="0.25">
      <c r="A933" s="15" t="s">
        <v>4365</v>
      </c>
      <c r="B933" s="16" t="s">
        <v>96</v>
      </c>
      <c r="C933" s="15">
        <v>8100502</v>
      </c>
      <c r="D933" s="16" t="s">
        <v>67</v>
      </c>
      <c r="E933" s="15" t="s">
        <v>2013</v>
      </c>
      <c r="F933" s="21" t="str">
        <f>HYPERLINK("https://psearch.kitsapgov.com/webappa/index.html?parcelID=2133270&amp;Theme=Imagery","2133270")</f>
        <v>2133270</v>
      </c>
      <c r="G933" s="16" t="s">
        <v>2014</v>
      </c>
      <c r="H933" s="17">
        <v>43712</v>
      </c>
      <c r="I933" s="18">
        <v>318000</v>
      </c>
      <c r="J933" s="19">
        <v>0.38</v>
      </c>
      <c r="K933" s="16" t="s">
        <v>173</v>
      </c>
      <c r="L933" s="16" t="s">
        <v>38</v>
      </c>
      <c r="M933" s="16" t="s">
        <v>2016</v>
      </c>
      <c r="N933" s="16" t="s">
        <v>4366</v>
      </c>
    </row>
    <row r="934" spans="1:14" ht="20.100000000000001" customHeight="1" x14ac:dyDescent="0.25">
      <c r="A934" s="15" t="s">
        <v>4367</v>
      </c>
      <c r="B934" s="16" t="s">
        <v>124</v>
      </c>
      <c r="C934" s="15">
        <v>9100541</v>
      </c>
      <c r="D934" s="16" t="s">
        <v>215</v>
      </c>
      <c r="E934" s="15" t="s">
        <v>2401</v>
      </c>
      <c r="F934" s="21" t="str">
        <f>HYPERLINK("https://psearch.kitsapgov.com/webappa/index.html?parcelID=2418267&amp;Theme=Imagery","2418267")</f>
        <v>2418267</v>
      </c>
      <c r="G934" s="16" t="s">
        <v>2402</v>
      </c>
      <c r="H934" s="17">
        <v>43704</v>
      </c>
      <c r="I934" s="18">
        <v>675000</v>
      </c>
      <c r="J934" s="19">
        <v>0.19</v>
      </c>
      <c r="K934" s="16" t="s">
        <v>235</v>
      </c>
      <c r="L934" s="16" t="s">
        <v>38</v>
      </c>
      <c r="M934" s="16" t="s">
        <v>4368</v>
      </c>
      <c r="N934" s="16" t="s">
        <v>4369</v>
      </c>
    </row>
    <row r="935" spans="1:14" ht="20.100000000000001" customHeight="1" x14ac:dyDescent="0.25">
      <c r="A935" s="15" t="s">
        <v>4370</v>
      </c>
      <c r="B935" s="16" t="s">
        <v>381</v>
      </c>
      <c r="C935" s="15">
        <v>8303601</v>
      </c>
      <c r="D935" s="16" t="s">
        <v>50</v>
      </c>
      <c r="E935" s="15" t="s">
        <v>4371</v>
      </c>
      <c r="F935" s="21" t="str">
        <f>HYPERLINK("https://psearch.kitsapgov.com/webappa/index.html?parcelID=1304989&amp;Theme=Imagery","1304989")</f>
        <v>1304989</v>
      </c>
      <c r="G935" s="16" t="s">
        <v>4372</v>
      </c>
      <c r="H935" s="17">
        <v>43717</v>
      </c>
      <c r="I935" s="18">
        <v>1750000</v>
      </c>
      <c r="J935" s="19">
        <v>0.72</v>
      </c>
      <c r="K935" s="16" t="s">
        <v>53</v>
      </c>
      <c r="L935" s="16" t="s">
        <v>38</v>
      </c>
      <c r="M935" s="16" t="s">
        <v>4373</v>
      </c>
      <c r="N935" s="16" t="s">
        <v>4374</v>
      </c>
    </row>
    <row r="936" spans="1:14" ht="20.100000000000001" customHeight="1" x14ac:dyDescent="0.25">
      <c r="A936" s="15" t="s">
        <v>4375</v>
      </c>
      <c r="B936" s="16" t="s">
        <v>306</v>
      </c>
      <c r="C936" s="15">
        <v>8100502</v>
      </c>
      <c r="D936" s="16" t="s">
        <v>67</v>
      </c>
      <c r="E936" s="15" t="s">
        <v>4376</v>
      </c>
      <c r="F936" s="21" t="str">
        <f>HYPERLINK("https://psearch.kitsapgov.com/webappa/index.html?parcelID=2538684&amp;Theme=Imagery","2538684")</f>
        <v>2538684</v>
      </c>
      <c r="G936" s="16" t="s">
        <v>4377</v>
      </c>
      <c r="H936" s="17">
        <v>43706</v>
      </c>
      <c r="I936" s="18">
        <v>1200000</v>
      </c>
      <c r="J936" s="19">
        <v>1.36</v>
      </c>
      <c r="K936" s="16" t="s">
        <v>85</v>
      </c>
      <c r="L936" s="16" t="s">
        <v>38</v>
      </c>
      <c r="M936" s="16" t="s">
        <v>4378</v>
      </c>
      <c r="N936" s="16" t="s">
        <v>4379</v>
      </c>
    </row>
    <row r="937" spans="1:14" ht="20.100000000000001" customHeight="1" x14ac:dyDescent="0.25">
      <c r="A937" s="15" t="s">
        <v>4380</v>
      </c>
      <c r="B937" s="16" t="s">
        <v>368</v>
      </c>
      <c r="C937" s="15">
        <v>8402307</v>
      </c>
      <c r="D937" s="16" t="s">
        <v>151</v>
      </c>
      <c r="E937" s="15" t="s">
        <v>4381</v>
      </c>
      <c r="F937" s="21" t="str">
        <f>HYPERLINK("https://psearch.kitsapgov.com/webappa/index.html?parcelID=1172485&amp;Theme=Imagery","1172485")</f>
        <v>1172485</v>
      </c>
      <c r="G937" s="16" t="s">
        <v>4382</v>
      </c>
      <c r="H937" s="17">
        <v>43719</v>
      </c>
      <c r="I937" s="18">
        <v>1600000</v>
      </c>
      <c r="J937" s="19">
        <v>0.49</v>
      </c>
      <c r="K937" s="16" t="s">
        <v>154</v>
      </c>
      <c r="L937" s="16" t="s">
        <v>38</v>
      </c>
      <c r="M937" s="16" t="s">
        <v>4383</v>
      </c>
      <c r="N937" s="16" t="s">
        <v>4384</v>
      </c>
    </row>
    <row r="938" spans="1:14" ht="20.100000000000001" customHeight="1" x14ac:dyDescent="0.25">
      <c r="A938" s="15" t="s">
        <v>4385</v>
      </c>
      <c r="B938" s="16" t="s">
        <v>57</v>
      </c>
      <c r="C938" s="15">
        <v>8402307</v>
      </c>
      <c r="D938" s="16" t="s">
        <v>151</v>
      </c>
      <c r="E938" s="15" t="s">
        <v>4386</v>
      </c>
      <c r="F938" s="21" t="str">
        <f>HYPERLINK("https://psearch.kitsapgov.com/webappa/index.html?parcelID=1175272&amp;Theme=Imagery","1175272")</f>
        <v>1175272</v>
      </c>
      <c r="G938" s="16" t="s">
        <v>4387</v>
      </c>
      <c r="H938" s="17">
        <v>43720</v>
      </c>
      <c r="I938" s="18">
        <v>250880</v>
      </c>
      <c r="J938" s="19">
        <v>0.84</v>
      </c>
      <c r="K938" s="16" t="s">
        <v>371</v>
      </c>
      <c r="L938" s="16" t="s">
        <v>38</v>
      </c>
      <c r="M938" s="16" t="s">
        <v>4388</v>
      </c>
      <c r="N938" s="16" t="s">
        <v>4389</v>
      </c>
    </row>
    <row r="939" spans="1:14" ht="20.100000000000001" customHeight="1" x14ac:dyDescent="0.25">
      <c r="A939" s="15" t="s">
        <v>4390</v>
      </c>
      <c r="B939" s="16" t="s">
        <v>124</v>
      </c>
      <c r="C939" s="15">
        <v>9401190</v>
      </c>
      <c r="D939" s="16" t="s">
        <v>394</v>
      </c>
      <c r="E939" s="15" t="s">
        <v>4391</v>
      </c>
      <c r="F939" s="21" t="str">
        <f>HYPERLINK("https://psearch.kitsapgov.com/webappa/index.html?parcelID=1246529&amp;Theme=Imagery","1246529")</f>
        <v>1246529</v>
      </c>
      <c r="G939" s="16" t="s">
        <v>4392</v>
      </c>
      <c r="H939" s="17">
        <v>43719</v>
      </c>
      <c r="I939" s="18">
        <v>615000</v>
      </c>
      <c r="J939" s="19">
        <v>0.49</v>
      </c>
      <c r="K939" s="16" t="s">
        <v>708</v>
      </c>
      <c r="L939" s="16" t="s">
        <v>20</v>
      </c>
      <c r="M939" s="16" t="s">
        <v>4393</v>
      </c>
      <c r="N939" s="16" t="s">
        <v>4394</v>
      </c>
    </row>
    <row r="940" spans="1:14" ht="20.100000000000001" customHeight="1" x14ac:dyDescent="0.25">
      <c r="A940" s="15" t="s">
        <v>4395</v>
      </c>
      <c r="B940" s="16" t="s">
        <v>330</v>
      </c>
      <c r="C940" s="15">
        <v>8400301</v>
      </c>
      <c r="D940" s="16" t="s">
        <v>1139</v>
      </c>
      <c r="E940" s="15" t="s">
        <v>4396</v>
      </c>
      <c r="F940" s="21" t="str">
        <f>HYPERLINK("https://psearch.kitsapgov.com/webappa/index.html?parcelID=1583095&amp;Theme=Imagery","1583095")</f>
        <v>1583095</v>
      </c>
      <c r="G940" s="16" t="s">
        <v>4397</v>
      </c>
      <c r="H940" s="17">
        <v>43678</v>
      </c>
      <c r="I940" s="18">
        <v>51650</v>
      </c>
      <c r="J940" s="19">
        <v>0.05</v>
      </c>
      <c r="K940" s="16" t="s">
        <v>1142</v>
      </c>
      <c r="L940" s="16" t="s">
        <v>1169</v>
      </c>
      <c r="M940" s="16" t="s">
        <v>1267</v>
      </c>
      <c r="N940" s="16" t="s">
        <v>4398</v>
      </c>
    </row>
    <row r="941" spans="1:14" ht="20.100000000000001" customHeight="1" x14ac:dyDescent="0.25">
      <c r="A941" s="15" t="s">
        <v>4399</v>
      </c>
      <c r="B941" s="16" t="s">
        <v>407</v>
      </c>
      <c r="C941" s="15">
        <v>8100505</v>
      </c>
      <c r="D941" s="16" t="s">
        <v>17</v>
      </c>
      <c r="E941" s="15" t="s">
        <v>4400</v>
      </c>
      <c r="F941" s="21" t="str">
        <f>HYPERLINK("https://psearch.kitsapgov.com/webappa/index.html?parcelID=2093805&amp;Theme=Imagery","2093805")</f>
        <v>2093805</v>
      </c>
      <c r="G941" s="16" t="s">
        <v>4401</v>
      </c>
      <c r="H941" s="17">
        <v>43720</v>
      </c>
      <c r="I941" s="18">
        <v>160000</v>
      </c>
      <c r="J941" s="19">
        <v>0</v>
      </c>
      <c r="L941" s="16" t="s">
        <v>38</v>
      </c>
      <c r="M941" s="16" t="s">
        <v>4402</v>
      </c>
      <c r="N941" s="16" t="s">
        <v>22</v>
      </c>
    </row>
    <row r="942" spans="1:14" ht="20.100000000000001" customHeight="1" x14ac:dyDescent="0.25">
      <c r="A942" s="15" t="s">
        <v>4403</v>
      </c>
      <c r="B942" s="16" t="s">
        <v>286</v>
      </c>
      <c r="C942" s="15">
        <v>8400206</v>
      </c>
      <c r="D942" s="16" t="s">
        <v>287</v>
      </c>
      <c r="E942" s="15" t="s">
        <v>4404</v>
      </c>
      <c r="F942" s="21" t="str">
        <f>HYPERLINK("https://psearch.kitsapgov.com/webappa/index.html?parcelID=2260826&amp;Theme=Imagery","2260826")</f>
        <v>2260826</v>
      </c>
      <c r="G942" s="16" t="s">
        <v>1551</v>
      </c>
      <c r="H942" s="17">
        <v>43720</v>
      </c>
      <c r="I942" s="18">
        <v>60000</v>
      </c>
      <c r="J942" s="19">
        <v>0</v>
      </c>
      <c r="L942" s="16" t="s">
        <v>38</v>
      </c>
      <c r="M942" s="16" t="s">
        <v>4405</v>
      </c>
      <c r="N942" s="16" t="s">
        <v>4173</v>
      </c>
    </row>
    <row r="943" spans="1:14" ht="20.100000000000001" customHeight="1" x14ac:dyDescent="0.25">
      <c r="A943" s="15" t="s">
        <v>4406</v>
      </c>
      <c r="B943" s="16" t="s">
        <v>393</v>
      </c>
      <c r="C943" s="15">
        <v>8401103</v>
      </c>
      <c r="D943" s="16" t="s">
        <v>826</v>
      </c>
      <c r="E943" s="15" t="s">
        <v>1418</v>
      </c>
      <c r="F943" s="21" t="str">
        <f>HYPERLINK("https://psearch.kitsapgov.com/webappa/index.html?parcelID=2240505&amp;Theme=Imagery","2240505")</f>
        <v>2240505</v>
      </c>
      <c r="G943" s="16" t="s">
        <v>1419</v>
      </c>
      <c r="H943" s="17">
        <v>43726</v>
      </c>
      <c r="I943" s="18">
        <v>31550000</v>
      </c>
      <c r="J943" s="19">
        <v>5.12</v>
      </c>
      <c r="K943" s="16" t="s">
        <v>708</v>
      </c>
      <c r="L943" s="16" t="s">
        <v>20</v>
      </c>
      <c r="M943" s="16" t="s">
        <v>4407</v>
      </c>
      <c r="N943" s="16" t="s">
        <v>4408</v>
      </c>
    </row>
    <row r="944" spans="1:14" ht="20.100000000000001" customHeight="1" x14ac:dyDescent="0.25">
      <c r="A944" s="15" t="s">
        <v>4409</v>
      </c>
      <c r="B944" s="16" t="s">
        <v>239</v>
      </c>
      <c r="C944" s="15">
        <v>8400204</v>
      </c>
      <c r="D944" s="16" t="s">
        <v>178</v>
      </c>
      <c r="E944" s="15" t="s">
        <v>4410</v>
      </c>
      <c r="F944" s="21" t="str">
        <f>HYPERLINK("https://psearch.kitsapgov.com/webappa/index.html?parcelID=2446441&amp;Theme=Imagery","2446441")</f>
        <v>2446441</v>
      </c>
      <c r="G944" s="16" t="s">
        <v>4411</v>
      </c>
      <c r="H944" s="17">
        <v>43724</v>
      </c>
      <c r="I944" s="18">
        <v>209625</v>
      </c>
      <c r="J944" s="19">
        <v>0.31</v>
      </c>
      <c r="K944" s="16" t="s">
        <v>1950</v>
      </c>
      <c r="L944" s="16" t="s">
        <v>38</v>
      </c>
      <c r="M944" s="16" t="s">
        <v>4412</v>
      </c>
      <c r="N944" s="16" t="s">
        <v>4413</v>
      </c>
    </row>
    <row r="945" spans="1:14" ht="20.100000000000001" customHeight="1" x14ac:dyDescent="0.25">
      <c r="A945" s="15" t="s">
        <v>4414</v>
      </c>
      <c r="B945" s="16" t="s">
        <v>286</v>
      </c>
      <c r="C945" s="15">
        <v>8400206</v>
      </c>
      <c r="D945" s="16" t="s">
        <v>287</v>
      </c>
      <c r="E945" s="15" t="s">
        <v>4415</v>
      </c>
      <c r="F945" s="21" t="str">
        <f>HYPERLINK("https://psearch.kitsapgov.com/webappa/index.html?parcelID=2260966&amp;Theme=Imagery","2260966")</f>
        <v>2260966</v>
      </c>
      <c r="G945" s="16" t="s">
        <v>1452</v>
      </c>
      <c r="H945" s="17">
        <v>43726</v>
      </c>
      <c r="I945" s="18">
        <v>94000</v>
      </c>
      <c r="J945" s="19">
        <v>0</v>
      </c>
      <c r="L945" s="16" t="s">
        <v>38</v>
      </c>
      <c r="M945" s="16" t="s">
        <v>4416</v>
      </c>
      <c r="N945" s="16" t="s">
        <v>4417</v>
      </c>
    </row>
    <row r="946" spans="1:14" ht="20.100000000000001" customHeight="1" x14ac:dyDescent="0.25">
      <c r="A946" s="15" t="s">
        <v>4418</v>
      </c>
      <c r="B946" s="16" t="s">
        <v>89</v>
      </c>
      <c r="C946" s="15">
        <v>8401104</v>
      </c>
      <c r="D946" s="16" t="s">
        <v>144</v>
      </c>
      <c r="E946" s="15" t="s">
        <v>4419</v>
      </c>
      <c r="F946" s="21" t="str">
        <f>HYPERLINK("https://psearch.kitsapgov.com/webappa/index.html?parcelID=1633726&amp;Theme=Imagery","1633726")</f>
        <v>1633726</v>
      </c>
      <c r="G946" s="16" t="s">
        <v>4420</v>
      </c>
      <c r="H946" s="17">
        <v>43727</v>
      </c>
      <c r="I946" s="18">
        <v>250000</v>
      </c>
      <c r="J946" s="19">
        <v>0.28999999999999998</v>
      </c>
      <c r="K946" s="16" t="s">
        <v>194</v>
      </c>
      <c r="L946" s="16" t="s">
        <v>38</v>
      </c>
      <c r="M946" s="16" t="s">
        <v>2635</v>
      </c>
      <c r="N946" s="16" t="s">
        <v>4421</v>
      </c>
    </row>
    <row r="947" spans="1:14" ht="20.100000000000001" customHeight="1" x14ac:dyDescent="0.25">
      <c r="A947" s="15" t="s">
        <v>4422</v>
      </c>
      <c r="B947" s="16" t="s">
        <v>96</v>
      </c>
      <c r="C947" s="15">
        <v>8100502</v>
      </c>
      <c r="D947" s="16" t="s">
        <v>67</v>
      </c>
      <c r="E947" s="15" t="s">
        <v>4423</v>
      </c>
      <c r="F947" s="21" t="str">
        <f>HYPERLINK("https://psearch.kitsapgov.com/webappa/index.html?parcelID=1152313&amp;Theme=Imagery","1152313")</f>
        <v>1152313</v>
      </c>
      <c r="G947" s="16" t="s">
        <v>4424</v>
      </c>
      <c r="H947" s="17">
        <v>43724</v>
      </c>
      <c r="I947" s="18">
        <v>1135000</v>
      </c>
      <c r="J947" s="19">
        <v>1.07</v>
      </c>
      <c r="K947" s="16" t="s">
        <v>173</v>
      </c>
      <c r="L947" s="16" t="s">
        <v>20</v>
      </c>
      <c r="M947" s="16" t="s">
        <v>4425</v>
      </c>
      <c r="N947" s="16" t="s">
        <v>4426</v>
      </c>
    </row>
    <row r="948" spans="1:14" ht="20.100000000000001" customHeight="1" x14ac:dyDescent="0.25">
      <c r="A948" s="15" t="s">
        <v>4427</v>
      </c>
      <c r="B948" s="16" t="s">
        <v>96</v>
      </c>
      <c r="C948" s="15">
        <v>8100502</v>
      </c>
      <c r="D948" s="16" t="s">
        <v>67</v>
      </c>
      <c r="E948" s="15" t="s">
        <v>1254</v>
      </c>
      <c r="F948" s="21" t="str">
        <f>HYPERLINK("https://psearch.kitsapgov.com/webappa/index.html?parcelID=1156835&amp;Theme=Imagery","1156835")</f>
        <v>1156835</v>
      </c>
      <c r="G948" s="16" t="s">
        <v>1255</v>
      </c>
      <c r="H948" s="17">
        <v>43734</v>
      </c>
      <c r="I948" s="18">
        <v>5500000</v>
      </c>
      <c r="J948" s="19">
        <v>4.63</v>
      </c>
      <c r="K948" s="16" t="s">
        <v>173</v>
      </c>
      <c r="L948" s="16" t="s">
        <v>38</v>
      </c>
      <c r="M948" s="16" t="s">
        <v>1257</v>
      </c>
      <c r="N948" s="16" t="s">
        <v>4428</v>
      </c>
    </row>
    <row r="949" spans="1:14" ht="20.100000000000001" customHeight="1" x14ac:dyDescent="0.25">
      <c r="A949" s="15" t="s">
        <v>4429</v>
      </c>
      <c r="B949" s="16" t="s">
        <v>57</v>
      </c>
      <c r="C949" s="15">
        <v>8303601</v>
      </c>
      <c r="D949" s="16" t="s">
        <v>50</v>
      </c>
      <c r="E949" s="15" t="s">
        <v>4430</v>
      </c>
      <c r="F949" s="21" t="str">
        <f>HYPERLINK("https://psearch.kitsapgov.com/webappa/index.html?parcelID=2517803&amp;Theme=Imagery","2517803")</f>
        <v>2517803</v>
      </c>
      <c r="G949" s="16" t="s">
        <v>4431</v>
      </c>
      <c r="H949" s="17">
        <v>43732</v>
      </c>
      <c r="I949" s="18">
        <v>39487</v>
      </c>
      <c r="J949" s="19">
        <v>0.19</v>
      </c>
      <c r="K949" s="16" t="s">
        <v>326</v>
      </c>
      <c r="L949" s="16" t="s">
        <v>1169</v>
      </c>
      <c r="M949" s="16" t="s">
        <v>4432</v>
      </c>
      <c r="N949" s="16" t="s">
        <v>1334</v>
      </c>
    </row>
    <row r="950" spans="1:14" ht="20.100000000000001" customHeight="1" x14ac:dyDescent="0.25">
      <c r="A950" s="15" t="s">
        <v>4433</v>
      </c>
      <c r="B950" s="16" t="s">
        <v>347</v>
      </c>
      <c r="C950" s="15">
        <v>8303601</v>
      </c>
      <c r="D950" s="16" t="s">
        <v>50</v>
      </c>
      <c r="E950" s="15" t="s">
        <v>4434</v>
      </c>
      <c r="F950" s="21" t="str">
        <f>HYPERLINK("https://psearch.kitsapgov.com/webappa/index.html?parcelID=2517811&amp;Theme=Imagery","2517811")</f>
        <v>2517811</v>
      </c>
      <c r="G950" s="16" t="s">
        <v>4435</v>
      </c>
      <c r="H950" s="17">
        <v>43732</v>
      </c>
      <c r="I950" s="18">
        <v>32400</v>
      </c>
      <c r="J950" s="19">
        <v>0.24</v>
      </c>
      <c r="K950" s="16" t="s">
        <v>326</v>
      </c>
      <c r="L950" s="16" t="s">
        <v>1169</v>
      </c>
      <c r="M950" s="16" t="s">
        <v>4432</v>
      </c>
      <c r="N950" s="16" t="s">
        <v>4436</v>
      </c>
    </row>
    <row r="951" spans="1:14" ht="20.100000000000001" customHeight="1" x14ac:dyDescent="0.25">
      <c r="A951" s="15" t="s">
        <v>4437</v>
      </c>
      <c r="B951" s="16" t="s">
        <v>286</v>
      </c>
      <c r="C951" s="15">
        <v>8400206</v>
      </c>
      <c r="D951" s="16" t="s">
        <v>287</v>
      </c>
      <c r="E951" s="15" t="s">
        <v>4438</v>
      </c>
      <c r="F951" s="21" t="str">
        <f>HYPERLINK("https://psearch.kitsapgov.com/webappa/index.html?parcelID=2071793&amp;Theme=Imagery","2071793")</f>
        <v>2071793</v>
      </c>
      <c r="G951" s="16" t="s">
        <v>609</v>
      </c>
      <c r="H951" s="17">
        <v>43735</v>
      </c>
      <c r="I951" s="18">
        <v>10500</v>
      </c>
      <c r="J951" s="19">
        <v>0</v>
      </c>
      <c r="L951" s="16" t="s">
        <v>38</v>
      </c>
      <c r="M951" s="16" t="s">
        <v>4439</v>
      </c>
      <c r="N951" s="16" t="s">
        <v>4440</v>
      </c>
    </row>
    <row r="952" spans="1:14" ht="20.100000000000001" customHeight="1" x14ac:dyDescent="0.25">
      <c r="A952" s="15" t="s">
        <v>4441</v>
      </c>
      <c r="B952" s="16" t="s">
        <v>347</v>
      </c>
      <c r="C952" s="15">
        <v>8401101</v>
      </c>
      <c r="D952" s="16" t="s">
        <v>185</v>
      </c>
      <c r="E952" s="15" t="s">
        <v>4442</v>
      </c>
      <c r="F952" s="21" t="str">
        <f>HYPERLINK("https://psearch.kitsapgov.com/webappa/index.html?parcelID=1238328&amp;Theme=Imagery","1238328")</f>
        <v>1238328</v>
      </c>
      <c r="G952" s="16" t="s">
        <v>4443</v>
      </c>
      <c r="H952" s="17">
        <v>43739</v>
      </c>
      <c r="I952" s="18">
        <v>2547000</v>
      </c>
      <c r="J952" s="19">
        <v>1.07</v>
      </c>
      <c r="K952" s="16" t="s">
        <v>188</v>
      </c>
      <c r="L952" s="16" t="s">
        <v>38</v>
      </c>
      <c r="M952" s="16" t="s">
        <v>4444</v>
      </c>
      <c r="N952" s="16" t="s">
        <v>4445</v>
      </c>
    </row>
    <row r="953" spans="1:14" ht="20.100000000000001" customHeight="1" x14ac:dyDescent="0.25">
      <c r="A953" s="15" t="s">
        <v>4446</v>
      </c>
      <c r="B953" s="16" t="s">
        <v>407</v>
      </c>
      <c r="C953" s="15">
        <v>8303601</v>
      </c>
      <c r="D953" s="16" t="s">
        <v>50</v>
      </c>
      <c r="E953" s="15" t="s">
        <v>4447</v>
      </c>
      <c r="F953" s="21" t="str">
        <f>HYPERLINK("https://psearch.kitsapgov.com/webappa/index.html?parcelID=2640118&amp;Theme=Imagery","2640118")</f>
        <v>2640118</v>
      </c>
      <c r="G953" s="16" t="s">
        <v>4448</v>
      </c>
      <c r="H953" s="17">
        <v>43733</v>
      </c>
      <c r="I953" s="18">
        <v>310000</v>
      </c>
      <c r="J953" s="19">
        <v>0</v>
      </c>
      <c r="L953" s="16" t="s">
        <v>4338</v>
      </c>
      <c r="M953" s="16" t="s">
        <v>4294</v>
      </c>
      <c r="N953" s="16" t="s">
        <v>4295</v>
      </c>
    </row>
    <row r="954" spans="1:14" ht="20.100000000000001" customHeight="1" x14ac:dyDescent="0.25">
      <c r="A954" s="15" t="s">
        <v>4449</v>
      </c>
      <c r="B954" s="16" t="s">
        <v>49</v>
      </c>
      <c r="C954" s="15">
        <v>9100542</v>
      </c>
      <c r="D954" s="16" t="s">
        <v>454</v>
      </c>
      <c r="E954" s="15" t="s">
        <v>4450</v>
      </c>
      <c r="F954" s="21" t="str">
        <f>HYPERLINK("https://psearch.kitsapgov.com/webappa/index.html?parcelID=1489939&amp;Theme=Imagery","1489939")</f>
        <v>1489939</v>
      </c>
      <c r="G954" s="16" t="s">
        <v>4451</v>
      </c>
      <c r="H954" s="17">
        <v>43741</v>
      </c>
      <c r="I954" s="18">
        <v>295000</v>
      </c>
      <c r="J954" s="19">
        <v>0.28999999999999998</v>
      </c>
      <c r="K954" s="16" t="s">
        <v>457</v>
      </c>
      <c r="L954" s="16" t="s">
        <v>38</v>
      </c>
      <c r="M954" s="16" t="s">
        <v>4452</v>
      </c>
      <c r="N954" s="16" t="s">
        <v>4453</v>
      </c>
    </row>
    <row r="955" spans="1:14" ht="20.100000000000001" customHeight="1" x14ac:dyDescent="0.25">
      <c r="A955" s="15" t="s">
        <v>4454</v>
      </c>
      <c r="B955" s="16" t="s">
        <v>104</v>
      </c>
      <c r="C955" s="15">
        <v>9402395</v>
      </c>
      <c r="D955" s="16" t="s">
        <v>580</v>
      </c>
      <c r="E955" s="15" t="s">
        <v>4455</v>
      </c>
      <c r="F955" s="21" t="str">
        <f>HYPERLINK("https://psearch.kitsapgov.com/webappa/index.html?parcelID=1511278&amp;Theme=Imagery","1511278")</f>
        <v>1511278</v>
      </c>
      <c r="G955" s="16" t="s">
        <v>4456</v>
      </c>
      <c r="H955" s="17">
        <v>43740</v>
      </c>
      <c r="I955" s="18">
        <v>349806</v>
      </c>
      <c r="J955" s="19">
        <v>0.68</v>
      </c>
      <c r="K955" s="16" t="s">
        <v>274</v>
      </c>
      <c r="L955" s="16" t="s">
        <v>38</v>
      </c>
      <c r="M955" s="16" t="s">
        <v>4457</v>
      </c>
      <c r="N955" s="16" t="s">
        <v>4458</v>
      </c>
    </row>
    <row r="956" spans="1:14" ht="20.100000000000001" customHeight="1" x14ac:dyDescent="0.25">
      <c r="A956" s="15" t="s">
        <v>4459</v>
      </c>
      <c r="B956" s="16" t="s">
        <v>1031</v>
      </c>
      <c r="C956" s="15">
        <v>8400202</v>
      </c>
      <c r="D956" s="16" t="s">
        <v>158</v>
      </c>
      <c r="E956" s="15" t="s">
        <v>4460</v>
      </c>
      <c r="F956" s="21" t="str">
        <f>HYPERLINK("https://psearch.kitsapgov.com/webappa/index.html?parcelID=1333723&amp;Theme=Imagery","1333723")</f>
        <v>1333723</v>
      </c>
      <c r="G956" s="16" t="s">
        <v>4461</v>
      </c>
      <c r="H956" s="17">
        <v>43741</v>
      </c>
      <c r="I956" s="18">
        <v>3185000</v>
      </c>
      <c r="J956" s="19">
        <v>2.59</v>
      </c>
      <c r="K956" s="16" t="s">
        <v>100</v>
      </c>
      <c r="L956" s="16" t="s">
        <v>38</v>
      </c>
      <c r="M956" s="16" t="s">
        <v>4462</v>
      </c>
      <c r="N956" s="16" t="s">
        <v>4463</v>
      </c>
    </row>
    <row r="957" spans="1:14" ht="20.100000000000001" customHeight="1" x14ac:dyDescent="0.25">
      <c r="A957" s="15" t="s">
        <v>4464</v>
      </c>
      <c r="B957" s="16" t="s">
        <v>286</v>
      </c>
      <c r="C957" s="15">
        <v>8400206</v>
      </c>
      <c r="D957" s="16" t="s">
        <v>287</v>
      </c>
      <c r="E957" s="15" t="s">
        <v>4465</v>
      </c>
      <c r="F957" s="21" t="str">
        <f>HYPERLINK("https://psearch.kitsapgov.com/webappa/index.html?parcelID=2070985&amp;Theme=Imagery","2070985")</f>
        <v>2070985</v>
      </c>
      <c r="G957" s="16" t="s">
        <v>4466</v>
      </c>
      <c r="H957" s="17">
        <v>43739</v>
      </c>
      <c r="I957" s="18">
        <v>75000</v>
      </c>
      <c r="J957" s="19">
        <v>0</v>
      </c>
      <c r="L957" s="16" t="s">
        <v>38</v>
      </c>
      <c r="M957" s="16" t="s">
        <v>4467</v>
      </c>
      <c r="N957" s="16" t="s">
        <v>4468</v>
      </c>
    </row>
    <row r="958" spans="1:14" ht="20.100000000000001" customHeight="1" x14ac:dyDescent="0.25">
      <c r="A958" s="15" t="s">
        <v>4469</v>
      </c>
      <c r="B958" s="16" t="s">
        <v>57</v>
      </c>
      <c r="C958" s="15">
        <v>9402390</v>
      </c>
      <c r="D958" s="16" t="s">
        <v>271</v>
      </c>
      <c r="E958" s="15" t="s">
        <v>4470</v>
      </c>
      <c r="F958" s="21" t="str">
        <f>HYPERLINK("https://psearch.kitsapgov.com/webappa/index.html?parcelID=1051325&amp;Theme=Imagery","1051325")</f>
        <v>1051325</v>
      </c>
      <c r="G958" s="16" t="s">
        <v>4471</v>
      </c>
      <c r="H958" s="17">
        <v>43746</v>
      </c>
      <c r="I958" s="18">
        <v>350000</v>
      </c>
      <c r="J958" s="19">
        <v>3.92</v>
      </c>
      <c r="K958" s="16" t="s">
        <v>78</v>
      </c>
      <c r="L958" s="16" t="s">
        <v>20</v>
      </c>
      <c r="M958" s="16" t="s">
        <v>1245</v>
      </c>
      <c r="N958" s="16" t="s">
        <v>4472</v>
      </c>
    </row>
    <row r="959" spans="1:14" ht="20.100000000000001" customHeight="1" x14ac:dyDescent="0.25">
      <c r="A959" s="15" t="s">
        <v>4473</v>
      </c>
      <c r="B959" s="16" t="s">
        <v>1353</v>
      </c>
      <c r="C959" s="15">
        <v>8402307</v>
      </c>
      <c r="D959" s="16" t="s">
        <v>151</v>
      </c>
      <c r="E959" s="15" t="s">
        <v>2364</v>
      </c>
      <c r="F959" s="21" t="str">
        <f>HYPERLINK("https://psearch.kitsapgov.com/webappa/index.html?parcelID=1162288&amp;Theme=Imagery","1162288")</f>
        <v>1162288</v>
      </c>
      <c r="G959" s="16" t="s">
        <v>2365</v>
      </c>
      <c r="H959" s="17">
        <v>43749</v>
      </c>
      <c r="I959" s="18">
        <v>370000</v>
      </c>
      <c r="J959" s="19">
        <v>0.25</v>
      </c>
      <c r="K959" s="16" t="s">
        <v>371</v>
      </c>
      <c r="L959" s="16" t="s">
        <v>20</v>
      </c>
      <c r="M959" s="16" t="s">
        <v>2367</v>
      </c>
      <c r="N959" s="16" t="s">
        <v>4474</v>
      </c>
    </row>
    <row r="960" spans="1:14" ht="20.100000000000001" customHeight="1" x14ac:dyDescent="0.25">
      <c r="A960" s="15" t="s">
        <v>4475</v>
      </c>
      <c r="B960" s="16" t="s">
        <v>89</v>
      </c>
      <c r="C960" s="15">
        <v>8400202</v>
      </c>
      <c r="D960" s="16" t="s">
        <v>158</v>
      </c>
      <c r="E960" s="15" t="s">
        <v>159</v>
      </c>
      <c r="F960" s="21" t="str">
        <f>HYPERLINK("https://psearch.kitsapgov.com/webappa/index.html?parcelID=2583375&amp;Theme=Imagery","2583375")</f>
        <v>2583375</v>
      </c>
      <c r="G960" s="16" t="s">
        <v>160</v>
      </c>
      <c r="H960" s="17">
        <v>43746</v>
      </c>
      <c r="I960" s="18">
        <v>8895000</v>
      </c>
      <c r="J960" s="19">
        <v>1.28</v>
      </c>
      <c r="K960" s="16" t="s">
        <v>100</v>
      </c>
      <c r="L960" s="16" t="s">
        <v>38</v>
      </c>
      <c r="M960" s="16" t="s">
        <v>162</v>
      </c>
      <c r="N960" s="16" t="s">
        <v>4476</v>
      </c>
    </row>
    <row r="961" spans="1:14" ht="20.100000000000001" customHeight="1" x14ac:dyDescent="0.25">
      <c r="A961" s="15" t="s">
        <v>4477</v>
      </c>
      <c r="B961" s="16" t="s">
        <v>49</v>
      </c>
      <c r="C961" s="15">
        <v>8401102</v>
      </c>
      <c r="D961" s="16" t="s">
        <v>766</v>
      </c>
      <c r="E961" s="15" t="s">
        <v>4478</v>
      </c>
      <c r="F961" s="21" t="str">
        <f>HYPERLINK("https://psearch.kitsapgov.com/webappa/index.html?parcelID=1246420&amp;Theme=Imagery","1246420")</f>
        <v>1246420</v>
      </c>
      <c r="G961" s="16" t="s">
        <v>4479</v>
      </c>
      <c r="H961" s="17">
        <v>43741</v>
      </c>
      <c r="I961" s="18">
        <v>150000</v>
      </c>
      <c r="J961" s="19">
        <v>0.13</v>
      </c>
      <c r="K961" s="16" t="s">
        <v>188</v>
      </c>
      <c r="L961" s="16" t="s">
        <v>372</v>
      </c>
      <c r="M961" s="16" t="s">
        <v>4480</v>
      </c>
      <c r="N961" s="16" t="s">
        <v>4481</v>
      </c>
    </row>
    <row r="962" spans="1:14" ht="20.100000000000001" customHeight="1" x14ac:dyDescent="0.25">
      <c r="A962" s="15" t="s">
        <v>4482</v>
      </c>
      <c r="B962" s="16" t="s">
        <v>49</v>
      </c>
      <c r="C962" s="15">
        <v>8400204</v>
      </c>
      <c r="D962" s="16" t="s">
        <v>178</v>
      </c>
      <c r="E962" s="15" t="s">
        <v>4483</v>
      </c>
      <c r="F962" s="21" t="str">
        <f>HYPERLINK("https://psearch.kitsapgov.com/webappa/index.html?parcelID=1354596&amp;Theme=Imagery","1354596")</f>
        <v>1354596</v>
      </c>
      <c r="G962" s="16" t="s">
        <v>4484</v>
      </c>
      <c r="H962" s="17">
        <v>43745</v>
      </c>
      <c r="I962" s="18">
        <v>500000</v>
      </c>
      <c r="J962" s="19">
        <v>1.19</v>
      </c>
      <c r="K962" s="16" t="s">
        <v>194</v>
      </c>
      <c r="L962" s="16" t="s">
        <v>20</v>
      </c>
      <c r="M962" s="16" t="s">
        <v>4485</v>
      </c>
      <c r="N962" s="16" t="s">
        <v>4486</v>
      </c>
    </row>
    <row r="963" spans="1:14" ht="20.100000000000001" customHeight="1" x14ac:dyDescent="0.25">
      <c r="A963" s="15" t="s">
        <v>4487</v>
      </c>
      <c r="B963" s="16" t="s">
        <v>89</v>
      </c>
      <c r="C963" s="15">
        <v>8100502</v>
      </c>
      <c r="D963" s="16" t="s">
        <v>67</v>
      </c>
      <c r="E963" s="15" t="s">
        <v>4488</v>
      </c>
      <c r="F963" s="21" t="str">
        <f>HYPERLINK("https://psearch.kitsapgov.com/webappa/index.html?parcelID=2166965&amp;Theme=Imagery","2166965")</f>
        <v>2166965</v>
      </c>
      <c r="G963" s="16" t="s">
        <v>4489</v>
      </c>
      <c r="H963" s="17">
        <v>43755</v>
      </c>
      <c r="I963" s="18">
        <v>197250</v>
      </c>
      <c r="J963" s="19">
        <v>0.28999999999999998</v>
      </c>
      <c r="K963" s="16" t="s">
        <v>839</v>
      </c>
      <c r="L963" s="16" t="s">
        <v>38</v>
      </c>
      <c r="M963" s="16" t="s">
        <v>4490</v>
      </c>
      <c r="N963" s="16" t="s">
        <v>4491</v>
      </c>
    </row>
    <row r="964" spans="1:14" ht="20.100000000000001" customHeight="1" x14ac:dyDescent="0.25">
      <c r="A964" s="15" t="s">
        <v>4492</v>
      </c>
      <c r="B964" s="16" t="s">
        <v>57</v>
      </c>
      <c r="C964" s="15">
        <v>8402307</v>
      </c>
      <c r="D964" s="16" t="s">
        <v>151</v>
      </c>
      <c r="E964" s="15" t="s">
        <v>4493</v>
      </c>
      <c r="F964" s="21" t="str">
        <f>HYPERLINK("https://psearch.kitsapgov.com/webappa/index.html?parcelID=1048768&amp;Theme=Imagery","1048768")</f>
        <v>1048768</v>
      </c>
      <c r="G964" s="16" t="s">
        <v>4494</v>
      </c>
      <c r="H964" s="17">
        <v>43760</v>
      </c>
      <c r="I964" s="18">
        <v>299000</v>
      </c>
      <c r="J964" s="19">
        <v>1.97</v>
      </c>
      <c r="K964" s="16" t="s">
        <v>371</v>
      </c>
      <c r="L964" s="16" t="s">
        <v>38</v>
      </c>
      <c r="M964" s="16" t="s">
        <v>4495</v>
      </c>
      <c r="N964" s="16" t="s">
        <v>4496</v>
      </c>
    </row>
    <row r="965" spans="1:14" ht="20.100000000000001" customHeight="1" x14ac:dyDescent="0.25">
      <c r="A965" s="15" t="s">
        <v>4497</v>
      </c>
      <c r="B965" s="16" t="s">
        <v>688</v>
      </c>
      <c r="C965" s="15">
        <v>8401104</v>
      </c>
      <c r="D965" s="16" t="s">
        <v>144</v>
      </c>
      <c r="E965" s="15" t="s">
        <v>3323</v>
      </c>
      <c r="F965" s="21" t="str">
        <f>HYPERLINK("https://psearch.kitsapgov.com/webappa/index.html?parcelID=2278562&amp;Theme=Imagery","2278562")</f>
        <v>2278562</v>
      </c>
      <c r="G965" s="16" t="s">
        <v>3324</v>
      </c>
      <c r="H965" s="17">
        <v>43763</v>
      </c>
      <c r="I965" s="18">
        <v>4500000</v>
      </c>
      <c r="J965" s="19">
        <v>2.44</v>
      </c>
      <c r="K965" s="16" t="s">
        <v>194</v>
      </c>
      <c r="L965" s="16" t="s">
        <v>20</v>
      </c>
      <c r="M965" s="16" t="s">
        <v>3325</v>
      </c>
      <c r="N965" s="16" t="s">
        <v>4498</v>
      </c>
    </row>
    <row r="966" spans="1:14" ht="20.100000000000001" customHeight="1" x14ac:dyDescent="0.25">
      <c r="A966" s="15" t="s">
        <v>4499</v>
      </c>
      <c r="B966" s="16" t="s">
        <v>96</v>
      </c>
      <c r="C966" s="15">
        <v>8401101</v>
      </c>
      <c r="D966" s="16" t="s">
        <v>185</v>
      </c>
      <c r="E966" s="15" t="s">
        <v>4500</v>
      </c>
      <c r="F966" s="21" t="str">
        <f>HYPERLINK("https://psearch.kitsapgov.com/webappa/index.html?parcelID=1941384&amp;Theme=Imagery","1941384")</f>
        <v>1941384</v>
      </c>
      <c r="G966" s="16" t="s">
        <v>4501</v>
      </c>
      <c r="H966" s="17">
        <v>43768</v>
      </c>
      <c r="I966" s="18">
        <v>2700000</v>
      </c>
      <c r="J966" s="19">
        <v>0.55000000000000004</v>
      </c>
      <c r="K966" s="16" t="s">
        <v>188</v>
      </c>
      <c r="L966" s="16" t="s">
        <v>38</v>
      </c>
      <c r="M966" s="16" t="s">
        <v>4502</v>
      </c>
      <c r="N966" s="16" t="s">
        <v>4503</v>
      </c>
    </row>
    <row r="967" spans="1:14" ht="20.100000000000001" customHeight="1" x14ac:dyDescent="0.25">
      <c r="A967" s="15" t="s">
        <v>4504</v>
      </c>
      <c r="B967" s="16" t="s">
        <v>57</v>
      </c>
      <c r="C967" s="15">
        <v>8400207</v>
      </c>
      <c r="D967" s="16" t="s">
        <v>998</v>
      </c>
      <c r="E967" s="15" t="s">
        <v>4505</v>
      </c>
      <c r="F967" s="21" t="str">
        <f>HYPERLINK("https://psearch.kitsapgov.com/webappa/index.html?parcelID=2457216&amp;Theme=Imagery","2457216")</f>
        <v>2457216</v>
      </c>
      <c r="G967" s="16" t="s">
        <v>4506</v>
      </c>
      <c r="H967" s="17">
        <v>43767</v>
      </c>
      <c r="I967" s="18">
        <v>240000</v>
      </c>
      <c r="J967" s="19">
        <v>0.94</v>
      </c>
      <c r="K967" s="16" t="s">
        <v>3537</v>
      </c>
      <c r="L967" s="16" t="s">
        <v>38</v>
      </c>
      <c r="M967" s="16" t="s">
        <v>3633</v>
      </c>
      <c r="N967" s="16" t="s">
        <v>4507</v>
      </c>
    </row>
    <row r="968" spans="1:14" ht="20.100000000000001" customHeight="1" x14ac:dyDescent="0.25">
      <c r="A968" s="15" t="s">
        <v>4508</v>
      </c>
      <c r="B968" s="16" t="s">
        <v>368</v>
      </c>
      <c r="C968" s="15">
        <v>8303601</v>
      </c>
      <c r="D968" s="16" t="s">
        <v>50</v>
      </c>
      <c r="E968" s="15" t="s">
        <v>4509</v>
      </c>
      <c r="F968" s="21" t="str">
        <f>HYPERLINK("https://psearch.kitsapgov.com/webappa/index.html?parcelID=2603322&amp;Theme=Imagery","2603322")</f>
        <v>2603322</v>
      </c>
      <c r="G968" s="16" t="s">
        <v>4510</v>
      </c>
      <c r="H968" s="17">
        <v>43769</v>
      </c>
      <c r="I968" s="18">
        <v>24100000</v>
      </c>
      <c r="J968" s="19">
        <v>2.74</v>
      </c>
      <c r="K968" s="16" t="s">
        <v>53</v>
      </c>
      <c r="L968" s="16" t="s">
        <v>20</v>
      </c>
      <c r="M968" s="16" t="s">
        <v>4511</v>
      </c>
      <c r="N968" s="16" t="s">
        <v>4512</v>
      </c>
    </row>
    <row r="969" spans="1:14" ht="20.100000000000001" customHeight="1" x14ac:dyDescent="0.25">
      <c r="A969" s="15" t="s">
        <v>4513</v>
      </c>
      <c r="B969" s="16" t="s">
        <v>2103</v>
      </c>
      <c r="C969" s="15">
        <v>8402307</v>
      </c>
      <c r="D969" s="16" t="s">
        <v>151</v>
      </c>
      <c r="E969" s="15" t="s">
        <v>4514</v>
      </c>
      <c r="F969" s="21" t="str">
        <f>HYPERLINK("https://psearch.kitsapgov.com/webappa/index.html?parcelID=2420958&amp;Theme=Imagery","2420958")</f>
        <v>2420958</v>
      </c>
      <c r="G969" s="16" t="s">
        <v>4515</v>
      </c>
      <c r="H969" s="17">
        <v>43767</v>
      </c>
      <c r="I969" s="18">
        <v>3700000</v>
      </c>
      <c r="J969" s="19">
        <v>1.51</v>
      </c>
      <c r="K969" s="16" t="s">
        <v>333</v>
      </c>
      <c r="L969" s="16" t="s">
        <v>38</v>
      </c>
      <c r="M969" s="16" t="s">
        <v>4516</v>
      </c>
      <c r="N969" s="16" t="s">
        <v>4517</v>
      </c>
    </row>
    <row r="970" spans="1:14" ht="20.100000000000001" customHeight="1" x14ac:dyDescent="0.25">
      <c r="A970" s="15" t="s">
        <v>4518</v>
      </c>
      <c r="B970" s="16" t="s">
        <v>286</v>
      </c>
      <c r="C970" s="15">
        <v>8400206</v>
      </c>
      <c r="D970" s="16" t="s">
        <v>287</v>
      </c>
      <c r="E970" s="15" t="s">
        <v>4519</v>
      </c>
      <c r="F970" s="21" t="str">
        <f>HYPERLINK("https://psearch.kitsapgov.com/webappa/index.html?parcelID=2071454&amp;Theme=Imagery","2071454")</f>
        <v>2071454</v>
      </c>
      <c r="G970" s="16" t="s">
        <v>1312</v>
      </c>
      <c r="H970" s="17">
        <v>43764</v>
      </c>
      <c r="I970" s="18">
        <v>22000</v>
      </c>
      <c r="J970" s="19">
        <v>0</v>
      </c>
      <c r="L970" s="16" t="s">
        <v>38</v>
      </c>
      <c r="M970" s="16" t="s">
        <v>4520</v>
      </c>
      <c r="N970" s="16" t="s">
        <v>4521</v>
      </c>
    </row>
    <row r="971" spans="1:14" ht="20.100000000000001" customHeight="1" x14ac:dyDescent="0.25">
      <c r="A971" s="15" t="s">
        <v>4522</v>
      </c>
      <c r="B971" s="16" t="s">
        <v>286</v>
      </c>
      <c r="C971" s="15">
        <v>8400206</v>
      </c>
      <c r="D971" s="16" t="s">
        <v>287</v>
      </c>
      <c r="E971" s="15" t="s">
        <v>4523</v>
      </c>
      <c r="F971" s="21" t="str">
        <f>HYPERLINK("https://psearch.kitsapgov.com/webappa/index.html?parcelID=2071116&amp;Theme=Imagery","2071116")</f>
        <v>2071116</v>
      </c>
      <c r="G971" s="16" t="s">
        <v>1147</v>
      </c>
      <c r="H971" s="17">
        <v>43768</v>
      </c>
      <c r="I971" s="18">
        <v>25500</v>
      </c>
      <c r="J971" s="19">
        <v>0</v>
      </c>
      <c r="L971" s="16" t="s">
        <v>38</v>
      </c>
      <c r="M971" s="16" t="s">
        <v>4524</v>
      </c>
      <c r="N971" s="16" t="s">
        <v>1553</v>
      </c>
    </row>
    <row r="972" spans="1:14" ht="20.100000000000001" customHeight="1" x14ac:dyDescent="0.25">
      <c r="A972" s="15" t="s">
        <v>4525</v>
      </c>
      <c r="B972" s="16" t="s">
        <v>318</v>
      </c>
      <c r="C972" s="15">
        <v>8402391</v>
      </c>
      <c r="D972" s="16" t="s">
        <v>227</v>
      </c>
      <c r="E972" s="15" t="s">
        <v>2270</v>
      </c>
      <c r="F972" s="21" t="str">
        <f>HYPERLINK("https://psearch.kitsapgov.com/webappa/index.html?parcelID=2455715&amp;Theme=Imagery","2455715")</f>
        <v>2455715</v>
      </c>
      <c r="G972" s="16" t="s">
        <v>2271</v>
      </c>
      <c r="H972" s="17">
        <v>43775</v>
      </c>
      <c r="I972" s="18">
        <v>108000</v>
      </c>
      <c r="J972" s="19">
        <v>0</v>
      </c>
      <c r="L972" s="16" t="s">
        <v>290</v>
      </c>
      <c r="M972" s="16" t="s">
        <v>2273</v>
      </c>
      <c r="N972" s="16" t="s">
        <v>3280</v>
      </c>
    </row>
    <row r="973" spans="1:14" ht="20.100000000000001" customHeight="1" x14ac:dyDescent="0.25">
      <c r="A973" s="15" t="s">
        <v>4526</v>
      </c>
      <c r="B973" s="16" t="s">
        <v>66</v>
      </c>
      <c r="C973" s="15">
        <v>8100504</v>
      </c>
      <c r="D973" s="16" t="s">
        <v>58</v>
      </c>
      <c r="E973" s="15" t="s">
        <v>2067</v>
      </c>
      <c r="F973" s="21" t="str">
        <f>HYPERLINK("https://psearch.kitsapgov.com/webappa/index.html?parcelID=1674068&amp;Theme=Imagery","1674068")</f>
        <v>1674068</v>
      </c>
      <c r="G973" s="16" t="s">
        <v>2068</v>
      </c>
      <c r="H973" s="17">
        <v>43773</v>
      </c>
      <c r="I973" s="18">
        <v>150000</v>
      </c>
      <c r="J973" s="19">
        <v>0.14000000000000001</v>
      </c>
      <c r="K973" s="16" t="s">
        <v>78</v>
      </c>
      <c r="L973" s="16" t="s">
        <v>38</v>
      </c>
      <c r="M973" s="16" t="s">
        <v>2070</v>
      </c>
      <c r="N973" s="16" t="s">
        <v>4527</v>
      </c>
    </row>
    <row r="974" spans="1:14" ht="20.100000000000001" customHeight="1" x14ac:dyDescent="0.25">
      <c r="A974" s="15" t="s">
        <v>4528</v>
      </c>
      <c r="B974" s="16" t="s">
        <v>306</v>
      </c>
      <c r="C974" s="15">
        <v>8402308</v>
      </c>
      <c r="D974" s="16" t="s">
        <v>75</v>
      </c>
      <c r="E974" s="15" t="s">
        <v>4529</v>
      </c>
      <c r="F974" s="21" t="str">
        <f>HYPERLINK("https://psearch.kitsapgov.com/webappa/index.html?parcelID=1170240&amp;Theme=Imagery","1170240")</f>
        <v>1170240</v>
      </c>
      <c r="G974" s="16" t="s">
        <v>4530</v>
      </c>
      <c r="H974" s="17">
        <v>43775</v>
      </c>
      <c r="I974" s="18">
        <v>725000</v>
      </c>
      <c r="J974" s="19">
        <v>1.72</v>
      </c>
      <c r="K974" s="16" t="s">
        <v>672</v>
      </c>
      <c r="L974" s="16" t="s">
        <v>20</v>
      </c>
      <c r="M974" s="16" t="s">
        <v>4531</v>
      </c>
      <c r="N974" s="16" t="s">
        <v>4532</v>
      </c>
    </row>
    <row r="975" spans="1:14" ht="20.100000000000001" customHeight="1" x14ac:dyDescent="0.25">
      <c r="A975" s="15" t="s">
        <v>4533</v>
      </c>
      <c r="B975" s="16" t="s">
        <v>286</v>
      </c>
      <c r="C975" s="15">
        <v>8400206</v>
      </c>
      <c r="D975" s="16" t="s">
        <v>287</v>
      </c>
      <c r="E975" s="15" t="s">
        <v>4534</v>
      </c>
      <c r="F975" s="21" t="str">
        <f>HYPERLINK("https://psearch.kitsapgov.com/webappa/index.html?parcelID=2070878&amp;Theme=Imagery","2070878")</f>
        <v>2070878</v>
      </c>
      <c r="G975" s="16" t="s">
        <v>4535</v>
      </c>
      <c r="H975" s="17">
        <v>43777</v>
      </c>
      <c r="I975" s="18">
        <v>44000</v>
      </c>
      <c r="J975" s="19">
        <v>0</v>
      </c>
      <c r="L975" s="16" t="s">
        <v>38</v>
      </c>
      <c r="M975" s="16" t="s">
        <v>4536</v>
      </c>
      <c r="N975" s="16" t="s">
        <v>4537</v>
      </c>
    </row>
    <row r="976" spans="1:14" ht="20.100000000000001" customHeight="1" x14ac:dyDescent="0.25">
      <c r="A976" s="15" t="s">
        <v>4538</v>
      </c>
      <c r="B976" s="16" t="s">
        <v>89</v>
      </c>
      <c r="C976" s="15">
        <v>8303601</v>
      </c>
      <c r="D976" s="16" t="s">
        <v>50</v>
      </c>
      <c r="E976" s="15" t="s">
        <v>4539</v>
      </c>
      <c r="F976" s="21" t="str">
        <f>HYPERLINK("https://psearch.kitsapgov.com/webappa/index.html?parcelID=1321512&amp;Theme=Imagery","1321512")</f>
        <v>1321512</v>
      </c>
      <c r="G976" s="16" t="s">
        <v>4540</v>
      </c>
      <c r="H976" s="17">
        <v>43783</v>
      </c>
      <c r="I976" s="18">
        <v>300000</v>
      </c>
      <c r="J976" s="19">
        <v>0.21</v>
      </c>
      <c r="K976" s="16" t="s">
        <v>1939</v>
      </c>
      <c r="L976" s="16" t="s">
        <v>246</v>
      </c>
      <c r="M976" s="16" t="s">
        <v>4541</v>
      </c>
      <c r="N976" s="16" t="s">
        <v>4542</v>
      </c>
    </row>
    <row r="977" spans="1:14" ht="20.100000000000001" customHeight="1" x14ac:dyDescent="0.25">
      <c r="A977" s="15" t="s">
        <v>4543</v>
      </c>
      <c r="B977" s="16" t="s">
        <v>442</v>
      </c>
      <c r="C977" s="15">
        <v>8100502</v>
      </c>
      <c r="D977" s="16" t="s">
        <v>67</v>
      </c>
      <c r="E977" s="15" t="s">
        <v>4544</v>
      </c>
      <c r="F977" s="21" t="str">
        <f>HYPERLINK("https://psearch.kitsapgov.com/webappa/index.html?parcelID=2319812&amp;Theme=Imagery","2319812")</f>
        <v>2319812</v>
      </c>
      <c r="G977" s="16" t="s">
        <v>4545</v>
      </c>
      <c r="H977" s="17">
        <v>43787</v>
      </c>
      <c r="I977" s="18">
        <v>946400</v>
      </c>
      <c r="J977" s="19">
        <v>0.47</v>
      </c>
      <c r="K977" s="16" t="s">
        <v>85</v>
      </c>
      <c r="L977" s="16" t="s">
        <v>38</v>
      </c>
      <c r="M977" s="16" t="s">
        <v>4546</v>
      </c>
      <c r="N977" s="16" t="s">
        <v>4547</v>
      </c>
    </row>
    <row r="978" spans="1:14" ht="20.100000000000001" customHeight="1" x14ac:dyDescent="0.25">
      <c r="A978" s="15" t="s">
        <v>4548</v>
      </c>
      <c r="B978" s="16" t="s">
        <v>74</v>
      </c>
      <c r="C978" s="15">
        <v>8401104</v>
      </c>
      <c r="D978" s="16" t="s">
        <v>144</v>
      </c>
      <c r="E978" s="15" t="s">
        <v>4549</v>
      </c>
      <c r="F978" s="21" t="str">
        <f>HYPERLINK("https://psearch.kitsapgov.com/webappa/index.html?parcelID=1911940&amp;Theme=Imagery","1911940")</f>
        <v>1911940</v>
      </c>
      <c r="G978" s="16" t="s">
        <v>4550</v>
      </c>
      <c r="H978" s="17">
        <v>43790</v>
      </c>
      <c r="I978" s="18">
        <v>4350000</v>
      </c>
      <c r="J978" s="19">
        <v>1.28</v>
      </c>
      <c r="K978" s="16" t="s">
        <v>61</v>
      </c>
      <c r="L978" s="16" t="s">
        <v>20</v>
      </c>
      <c r="M978" s="16" t="s">
        <v>4551</v>
      </c>
      <c r="N978" s="16" t="s">
        <v>4552</v>
      </c>
    </row>
    <row r="979" spans="1:14" ht="20.100000000000001" customHeight="1" x14ac:dyDescent="0.25">
      <c r="A979" s="15" t="s">
        <v>4553</v>
      </c>
      <c r="B979" s="16" t="s">
        <v>286</v>
      </c>
      <c r="C979" s="15">
        <v>8400206</v>
      </c>
      <c r="D979" s="16" t="s">
        <v>287</v>
      </c>
      <c r="E979" s="15" t="s">
        <v>4554</v>
      </c>
      <c r="F979" s="21" t="str">
        <f>HYPERLINK("https://psearch.kitsapgov.com/webappa/index.html?parcelID=2071157&amp;Theme=Imagery","2071157")</f>
        <v>2071157</v>
      </c>
      <c r="G979" s="16" t="s">
        <v>4555</v>
      </c>
      <c r="H979" s="17">
        <v>43787</v>
      </c>
      <c r="I979" s="18">
        <v>28000</v>
      </c>
      <c r="J979" s="19">
        <v>0</v>
      </c>
      <c r="L979" s="16" t="s">
        <v>38</v>
      </c>
      <c r="M979" s="16" t="s">
        <v>4556</v>
      </c>
      <c r="N979" s="16" t="s">
        <v>4557</v>
      </c>
    </row>
    <row r="980" spans="1:14" ht="20.100000000000001" customHeight="1" x14ac:dyDescent="0.25">
      <c r="A980" s="15" t="s">
        <v>4558</v>
      </c>
      <c r="B980" s="16" t="s">
        <v>49</v>
      </c>
      <c r="C980" s="15">
        <v>8402307</v>
      </c>
      <c r="D980" s="16" t="s">
        <v>151</v>
      </c>
      <c r="E980" s="15" t="s">
        <v>4559</v>
      </c>
      <c r="F980" s="21" t="str">
        <f>HYPERLINK("https://psearch.kitsapgov.com/webappa/index.html?parcelID=1211135&amp;Theme=Imagery","1211135")</f>
        <v>1211135</v>
      </c>
      <c r="G980" s="16" t="s">
        <v>4560</v>
      </c>
      <c r="H980" s="17">
        <v>43791</v>
      </c>
      <c r="I980" s="18">
        <v>183100</v>
      </c>
      <c r="J980" s="19">
        <v>0.84</v>
      </c>
      <c r="K980" s="16" t="s">
        <v>194</v>
      </c>
      <c r="L980" s="16" t="s">
        <v>129</v>
      </c>
      <c r="M980" s="16" t="s">
        <v>4561</v>
      </c>
      <c r="N980" s="16" t="s">
        <v>4562</v>
      </c>
    </row>
    <row r="981" spans="1:14" ht="20.100000000000001" customHeight="1" x14ac:dyDescent="0.25">
      <c r="A981" s="15" t="s">
        <v>4563</v>
      </c>
      <c r="B981" s="16" t="s">
        <v>688</v>
      </c>
      <c r="C981" s="15">
        <v>8400204</v>
      </c>
      <c r="D981" s="16" t="s">
        <v>178</v>
      </c>
      <c r="E981" s="15" t="s">
        <v>4564</v>
      </c>
      <c r="F981" s="21" t="str">
        <f>HYPERLINK("https://psearch.kitsapgov.com/webappa/index.html?parcelID=1387505&amp;Theme=Imagery","1387505")</f>
        <v>1387505</v>
      </c>
      <c r="G981" s="16" t="s">
        <v>4565</v>
      </c>
      <c r="H981" s="17">
        <v>43707</v>
      </c>
      <c r="I981" s="18">
        <v>500</v>
      </c>
      <c r="J981" s="19">
        <v>4.59</v>
      </c>
      <c r="K981" s="16" t="s">
        <v>194</v>
      </c>
      <c r="L981" s="16" t="s">
        <v>542</v>
      </c>
      <c r="M981" s="16" t="s">
        <v>4566</v>
      </c>
      <c r="N981" s="16" t="s">
        <v>544</v>
      </c>
    </row>
    <row r="982" spans="1:14" ht="20.100000000000001" customHeight="1" x14ac:dyDescent="0.25">
      <c r="A982" s="15" t="s">
        <v>4567</v>
      </c>
      <c r="B982" s="16" t="s">
        <v>143</v>
      </c>
      <c r="C982" s="15">
        <v>8100506</v>
      </c>
      <c r="D982" s="16" t="s">
        <v>25</v>
      </c>
      <c r="E982" s="15" t="s">
        <v>4568</v>
      </c>
      <c r="F982" s="21" t="str">
        <f>HYPERLINK("https://psearch.kitsapgov.com/webappa/index.html?parcelID=2643872&amp;Theme=Imagery","2643872")</f>
        <v>2643872</v>
      </c>
      <c r="G982" s="16" t="s">
        <v>4569</v>
      </c>
      <c r="H982" s="17">
        <v>43794</v>
      </c>
      <c r="I982" s="18">
        <v>600000</v>
      </c>
      <c r="J982" s="19">
        <v>1.57</v>
      </c>
      <c r="K982" s="16" t="s">
        <v>28</v>
      </c>
      <c r="L982" s="16" t="s">
        <v>38</v>
      </c>
      <c r="M982" s="16" t="s">
        <v>1928</v>
      </c>
      <c r="N982" s="16" t="s">
        <v>3990</v>
      </c>
    </row>
    <row r="983" spans="1:14" ht="20.100000000000001" customHeight="1" x14ac:dyDescent="0.25">
      <c r="A983" s="15" t="s">
        <v>4570</v>
      </c>
      <c r="B983" s="16" t="s">
        <v>89</v>
      </c>
      <c r="C983" s="15">
        <v>8400201</v>
      </c>
      <c r="D983" s="16" t="s">
        <v>941</v>
      </c>
      <c r="E983" s="15" t="s">
        <v>4571</v>
      </c>
      <c r="F983" s="21" t="str">
        <f>HYPERLINK("https://psearch.kitsapgov.com/webappa/index.html?parcelID=1550854&amp;Theme=Imagery","1550854")</f>
        <v>1550854</v>
      </c>
      <c r="G983" s="16" t="s">
        <v>4572</v>
      </c>
      <c r="H983" s="17">
        <v>43794</v>
      </c>
      <c r="I983" s="18">
        <v>995000</v>
      </c>
      <c r="J983" s="19">
        <v>0.09</v>
      </c>
      <c r="K983" s="16" t="s">
        <v>944</v>
      </c>
      <c r="L983" s="16" t="s">
        <v>38</v>
      </c>
      <c r="M983" s="16" t="s">
        <v>3929</v>
      </c>
      <c r="N983" s="16" t="s">
        <v>4573</v>
      </c>
    </row>
    <row r="984" spans="1:14" ht="20.100000000000001" customHeight="1" x14ac:dyDescent="0.25">
      <c r="A984" s="15" t="s">
        <v>4574</v>
      </c>
      <c r="B984" s="16" t="s">
        <v>96</v>
      </c>
      <c r="C984" s="15">
        <v>8303601</v>
      </c>
      <c r="D984" s="16" t="s">
        <v>50</v>
      </c>
      <c r="E984" s="15" t="s">
        <v>4575</v>
      </c>
      <c r="F984" s="21" t="str">
        <f>HYPERLINK("https://psearch.kitsapgov.com/webappa/index.html?parcelID=1285584&amp;Theme=Imagery","1285584")</f>
        <v>1285584</v>
      </c>
      <c r="G984" s="16" t="s">
        <v>4576</v>
      </c>
      <c r="H984" s="17">
        <v>43791</v>
      </c>
      <c r="I984" s="18">
        <v>800000</v>
      </c>
      <c r="J984" s="19">
        <v>1.81</v>
      </c>
      <c r="K984" s="16" t="s">
        <v>1339</v>
      </c>
      <c r="L984" s="16" t="s">
        <v>38</v>
      </c>
      <c r="M984" s="16" t="s">
        <v>4577</v>
      </c>
      <c r="N984" s="16" t="s">
        <v>4578</v>
      </c>
    </row>
    <row r="985" spans="1:14" ht="20.100000000000001" customHeight="1" x14ac:dyDescent="0.25">
      <c r="A985" s="15" t="s">
        <v>4579</v>
      </c>
      <c r="B985" s="16" t="s">
        <v>214</v>
      </c>
      <c r="C985" s="15">
        <v>9100541</v>
      </c>
      <c r="D985" s="16" t="s">
        <v>215</v>
      </c>
      <c r="E985" s="15" t="s">
        <v>4580</v>
      </c>
      <c r="F985" s="21" t="str">
        <f>HYPERLINK("https://psearch.kitsapgov.com/webappa/index.html?parcelID=1139542&amp;Theme=Imagery","1139542")</f>
        <v>1139542</v>
      </c>
      <c r="G985" s="16" t="s">
        <v>4581</v>
      </c>
      <c r="H985" s="17">
        <v>43795</v>
      </c>
      <c r="I985" s="18">
        <v>700000</v>
      </c>
      <c r="J985" s="19">
        <v>0.08</v>
      </c>
      <c r="K985" s="16" t="s">
        <v>218</v>
      </c>
      <c r="L985" s="16" t="s">
        <v>38</v>
      </c>
      <c r="M985" s="16" t="s">
        <v>4582</v>
      </c>
      <c r="N985" s="16" t="s">
        <v>4583</v>
      </c>
    </row>
    <row r="986" spans="1:14" ht="20.100000000000001" customHeight="1" x14ac:dyDescent="0.25">
      <c r="A986" s="15" t="s">
        <v>4584</v>
      </c>
      <c r="B986" s="16" t="s">
        <v>89</v>
      </c>
      <c r="C986" s="15">
        <v>8400202</v>
      </c>
      <c r="D986" s="16" t="s">
        <v>158</v>
      </c>
      <c r="E986" s="15" t="s">
        <v>4585</v>
      </c>
      <c r="F986" s="21" t="str">
        <f>HYPERLINK("https://psearch.kitsapgov.com/webappa/index.html?parcelID=2321289&amp;Theme=Imagery","2321289")</f>
        <v>2321289</v>
      </c>
      <c r="G986" s="16" t="s">
        <v>4586</v>
      </c>
      <c r="H986" s="17">
        <v>43775</v>
      </c>
      <c r="I986" s="18">
        <v>900000</v>
      </c>
      <c r="J986" s="19">
        <v>0.63</v>
      </c>
      <c r="K986" s="16" t="s">
        <v>100</v>
      </c>
      <c r="L986" s="16" t="s">
        <v>38</v>
      </c>
      <c r="M986" s="16" t="s">
        <v>4587</v>
      </c>
      <c r="N986" s="16" t="s">
        <v>4588</v>
      </c>
    </row>
    <row r="987" spans="1:14" ht="20.100000000000001" customHeight="1" x14ac:dyDescent="0.25">
      <c r="A987" s="15" t="s">
        <v>4589</v>
      </c>
      <c r="B987" s="16" t="s">
        <v>704</v>
      </c>
      <c r="C987" s="15">
        <v>9401120</v>
      </c>
      <c r="D987" s="16" t="s">
        <v>125</v>
      </c>
      <c r="E987" s="15" t="s">
        <v>4590</v>
      </c>
      <c r="F987" s="21" t="str">
        <f>HYPERLINK("https://psearch.kitsapgov.com/webappa/index.html?parcelID=1124031&amp;Theme=Imagery","1124031")</f>
        <v>1124031</v>
      </c>
      <c r="G987" s="16" t="s">
        <v>4591</v>
      </c>
      <c r="H987" s="17">
        <v>43790</v>
      </c>
      <c r="I987" s="18">
        <v>3500000</v>
      </c>
      <c r="J987" s="19">
        <v>6.11</v>
      </c>
      <c r="K987" s="16" t="s">
        <v>128</v>
      </c>
      <c r="L987" s="16" t="s">
        <v>38</v>
      </c>
      <c r="M987" s="16" t="s">
        <v>4592</v>
      </c>
      <c r="N987" s="16" t="s">
        <v>4593</v>
      </c>
    </row>
  </sheetData>
  <mergeCells count="1">
    <mergeCell ref="A1:D1"/>
  </mergeCells>
  <pageMargins left="0.75" right="0.75" top="1" bottom="1" header="0.5" footer="0.5"/>
  <pageSetup orientation="portrait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4BC59-29FE-4A73-BFD8-F52DAD7EDEA5}">
  <sheetPr codeName="Sheet4"/>
  <dimension ref="A1:O805"/>
  <sheetViews>
    <sheetView workbookViewId="0">
      <pane ySplit="2" topLeftCell="A3" activePane="bottomLeft" state="frozen"/>
      <selection pane="bottomLeft" activeCell="F3" sqref="F3"/>
    </sheetView>
  </sheetViews>
  <sheetFormatPr defaultRowHeight="14.25" x14ac:dyDescent="0.2"/>
  <cols>
    <col min="1" max="1" width="13.140625" style="15" customWidth="1"/>
    <col min="2" max="2" width="52.42578125" style="16" customWidth="1"/>
    <col min="3" max="3" width="11.140625" style="15" customWidth="1"/>
    <col min="4" max="4" width="35.7109375" style="16" customWidth="1"/>
    <col min="5" max="5" width="20.7109375" style="15" customWidth="1"/>
    <col min="6" max="6" width="14.7109375" style="15" customWidth="1"/>
    <col min="7" max="7" width="43.140625" style="16" bestFit="1" customWidth="1"/>
    <col min="8" max="8" width="12" style="17" customWidth="1"/>
    <col min="9" max="9" width="11.85546875" style="18" customWidth="1"/>
    <col min="10" max="10" width="8.28515625" style="19" customWidth="1"/>
    <col min="11" max="11" width="40.140625" style="16" customWidth="1"/>
    <col min="12" max="12" width="28.140625" style="16" customWidth="1"/>
    <col min="13" max="14" width="50.7109375" style="16" customWidth="1"/>
    <col min="15" max="16384" width="9.140625" style="20"/>
  </cols>
  <sheetData>
    <row r="1" spans="1:15" s="7" customFormat="1" ht="21" customHeight="1" x14ac:dyDescent="0.25">
      <c r="A1" s="1" t="s">
        <v>4594</v>
      </c>
      <c r="B1" s="1"/>
      <c r="C1" s="1"/>
      <c r="D1" s="1"/>
      <c r="E1" s="2"/>
      <c r="F1" s="2"/>
      <c r="G1" s="3"/>
      <c r="H1" s="4"/>
      <c r="I1" s="5"/>
      <c r="J1" s="6"/>
      <c r="K1" s="3"/>
      <c r="L1" s="3"/>
      <c r="M1" s="3"/>
      <c r="N1" s="3"/>
    </row>
    <row r="2" spans="1:15" s="14" customFormat="1" ht="27" customHeight="1" x14ac:dyDescent="0.2">
      <c r="A2" s="8" t="s">
        <v>1</v>
      </c>
      <c r="B2" s="9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2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3"/>
    </row>
    <row r="3" spans="1:15" ht="39.950000000000003" customHeight="1" x14ac:dyDescent="0.25">
      <c r="A3" s="15" t="s">
        <v>4595</v>
      </c>
      <c r="B3" s="16" t="s">
        <v>2598</v>
      </c>
      <c r="C3" s="15">
        <v>8400203</v>
      </c>
      <c r="D3" s="16" t="s">
        <v>97</v>
      </c>
      <c r="E3" s="15" t="s">
        <v>4596</v>
      </c>
      <c r="F3" s="21" t="str">
        <f>HYPERLINK("https://psearch.kitsapgov.com/webappa/index.html?parcelID=1334812&amp;Theme=Imagery","1334812")</f>
        <v>1334812</v>
      </c>
      <c r="G3" s="16" t="s">
        <v>4597</v>
      </c>
      <c r="H3" s="17">
        <v>42009</v>
      </c>
      <c r="I3" s="18">
        <v>1975000</v>
      </c>
      <c r="J3" s="19">
        <v>1.83</v>
      </c>
      <c r="K3" s="16" t="s">
        <v>100</v>
      </c>
      <c r="L3" s="16" t="s">
        <v>129</v>
      </c>
      <c r="M3" s="16" t="s">
        <v>4598</v>
      </c>
      <c r="N3" s="16" t="s">
        <v>4599</v>
      </c>
    </row>
    <row r="4" spans="1:15" ht="20.100000000000001" customHeight="1" x14ac:dyDescent="0.25">
      <c r="A4" s="15" t="s">
        <v>4595</v>
      </c>
      <c r="B4" s="16" t="s">
        <v>2598</v>
      </c>
      <c r="C4" s="15">
        <v>8400203</v>
      </c>
      <c r="D4" s="16" t="s">
        <v>97</v>
      </c>
      <c r="E4" s="15" t="s">
        <v>4600</v>
      </c>
      <c r="F4" s="21" t="str">
        <f>HYPERLINK("https://psearch.kitsapgov.com/webappa/index.html?parcelID=1334820&amp;Theme=Imagery","1334820")</f>
        <v>1334820</v>
      </c>
      <c r="G4" s="16" t="s">
        <v>4597</v>
      </c>
      <c r="H4" s="17">
        <v>42009</v>
      </c>
      <c r="I4" s="18">
        <v>1975000</v>
      </c>
      <c r="J4" s="19">
        <v>1.85</v>
      </c>
      <c r="K4" s="16" t="s">
        <v>100</v>
      </c>
      <c r="L4" s="16" t="s">
        <v>129</v>
      </c>
      <c r="M4" s="16" t="s">
        <v>4598</v>
      </c>
      <c r="N4" s="16" t="s">
        <v>4599</v>
      </c>
    </row>
    <row r="5" spans="1:15" ht="20.100000000000001" customHeight="1" x14ac:dyDescent="0.25">
      <c r="A5" s="15" t="s">
        <v>4595</v>
      </c>
      <c r="B5" s="16" t="s">
        <v>57</v>
      </c>
      <c r="C5" s="15">
        <v>8400203</v>
      </c>
      <c r="D5" s="16" t="s">
        <v>97</v>
      </c>
      <c r="E5" s="15" t="s">
        <v>4601</v>
      </c>
      <c r="F5" s="21" t="str">
        <f>HYPERLINK("https://psearch.kitsapgov.com/webappa/index.html?parcelID=1336130&amp;Theme=Imagery","1336130")</f>
        <v>1336130</v>
      </c>
      <c r="G5" s="16" t="s">
        <v>4602</v>
      </c>
      <c r="H5" s="17">
        <v>42009</v>
      </c>
      <c r="I5" s="18">
        <v>1975000</v>
      </c>
      <c r="J5" s="19">
        <v>0.15</v>
      </c>
      <c r="K5" s="16" t="s">
        <v>100</v>
      </c>
      <c r="L5" s="16" t="s">
        <v>129</v>
      </c>
      <c r="M5" s="16" t="s">
        <v>4598</v>
      </c>
      <c r="N5" s="16" t="s">
        <v>4599</v>
      </c>
    </row>
    <row r="6" spans="1:15" ht="39.950000000000003" customHeight="1" x14ac:dyDescent="0.25">
      <c r="A6" s="15" t="s">
        <v>4603</v>
      </c>
      <c r="B6" s="16" t="s">
        <v>66</v>
      </c>
      <c r="C6" s="15">
        <v>8402391</v>
      </c>
      <c r="D6" s="16" t="s">
        <v>227</v>
      </c>
      <c r="E6" s="15" t="s">
        <v>4604</v>
      </c>
      <c r="F6" s="21" t="str">
        <f>HYPERLINK("https://psearch.kitsapgov.com/webappa/index.html?parcelID=2152452&amp;Theme=Imagery","2152452")</f>
        <v>2152452</v>
      </c>
      <c r="G6" s="16" t="s">
        <v>4605</v>
      </c>
      <c r="H6" s="17">
        <v>42016</v>
      </c>
      <c r="I6" s="18">
        <v>1200000</v>
      </c>
      <c r="J6" s="19">
        <v>0</v>
      </c>
      <c r="K6" s="16" t="s">
        <v>70</v>
      </c>
      <c r="L6" s="16" t="s">
        <v>290</v>
      </c>
      <c r="M6" s="16" t="s">
        <v>4606</v>
      </c>
      <c r="N6" s="16" t="s">
        <v>4607</v>
      </c>
    </row>
    <row r="7" spans="1:15" ht="20.100000000000001" customHeight="1" x14ac:dyDescent="0.25">
      <c r="A7" s="15" t="s">
        <v>4603</v>
      </c>
      <c r="B7" s="16" t="s">
        <v>66</v>
      </c>
      <c r="C7" s="15">
        <v>8402391</v>
      </c>
      <c r="D7" s="16" t="s">
        <v>227</v>
      </c>
      <c r="E7" s="15" t="s">
        <v>4608</v>
      </c>
      <c r="F7" s="21" t="str">
        <f>HYPERLINK("https://psearch.kitsapgov.com/webappa/index.html?parcelID=2276210&amp;Theme=Imagery","2276210")</f>
        <v>2276210</v>
      </c>
      <c r="G7" s="16" t="s">
        <v>4609</v>
      </c>
      <c r="H7" s="17">
        <v>42016</v>
      </c>
      <c r="I7" s="18">
        <v>1200000</v>
      </c>
      <c r="J7" s="19">
        <v>0</v>
      </c>
      <c r="K7" s="16" t="s">
        <v>70</v>
      </c>
      <c r="L7" s="16" t="s">
        <v>290</v>
      </c>
      <c r="M7" s="16" t="s">
        <v>4606</v>
      </c>
      <c r="N7" s="16" t="s">
        <v>4607</v>
      </c>
    </row>
    <row r="8" spans="1:15" ht="39.950000000000003" customHeight="1" x14ac:dyDescent="0.25">
      <c r="A8" s="15" t="s">
        <v>4610</v>
      </c>
      <c r="B8" s="16" t="s">
        <v>2598</v>
      </c>
      <c r="C8" s="15">
        <v>8100510</v>
      </c>
      <c r="D8" s="16" t="s">
        <v>401</v>
      </c>
      <c r="E8" s="15" t="s">
        <v>4611</v>
      </c>
      <c r="F8" s="21" t="str">
        <f>HYPERLINK("https://psearch.kitsapgov.com/webappa/index.html?parcelID=1467166&amp;Theme=Imagery","1467166")</f>
        <v>1467166</v>
      </c>
      <c r="G8" s="16" t="s">
        <v>4612</v>
      </c>
      <c r="H8" s="17">
        <v>42038</v>
      </c>
      <c r="I8" s="18">
        <v>140000</v>
      </c>
      <c r="J8" s="19">
        <v>0.27</v>
      </c>
      <c r="K8" s="16" t="s">
        <v>28</v>
      </c>
      <c r="L8" s="16" t="s">
        <v>372</v>
      </c>
      <c r="M8" s="16" t="s">
        <v>4613</v>
      </c>
      <c r="N8" s="16" t="s">
        <v>4614</v>
      </c>
    </row>
    <row r="9" spans="1:15" ht="20.100000000000001" customHeight="1" x14ac:dyDescent="0.25">
      <c r="A9" s="15" t="s">
        <v>4610</v>
      </c>
      <c r="B9" s="16" t="s">
        <v>89</v>
      </c>
      <c r="C9" s="15">
        <v>8100510</v>
      </c>
      <c r="D9" s="16" t="s">
        <v>401</v>
      </c>
      <c r="E9" s="15" t="s">
        <v>4615</v>
      </c>
      <c r="F9" s="21" t="str">
        <f>HYPERLINK("https://psearch.kitsapgov.com/webappa/index.html?parcelID=1467174&amp;Theme=Imagery","1467174")</f>
        <v>1467174</v>
      </c>
      <c r="G9" s="16" t="s">
        <v>4616</v>
      </c>
      <c r="H9" s="17">
        <v>42038</v>
      </c>
      <c r="I9" s="18">
        <v>140000</v>
      </c>
      <c r="J9" s="19">
        <v>0.14000000000000001</v>
      </c>
      <c r="K9" s="16" t="s">
        <v>28</v>
      </c>
      <c r="L9" s="16" t="s">
        <v>372</v>
      </c>
      <c r="M9" s="16" t="s">
        <v>4613</v>
      </c>
      <c r="N9" s="16" t="s">
        <v>4614</v>
      </c>
    </row>
    <row r="10" spans="1:15" ht="39.950000000000003" customHeight="1" x14ac:dyDescent="0.25">
      <c r="A10" s="15" t="s">
        <v>4617</v>
      </c>
      <c r="B10" s="16" t="s">
        <v>2103</v>
      </c>
      <c r="C10" s="15">
        <v>9100541</v>
      </c>
      <c r="D10" s="16" t="s">
        <v>215</v>
      </c>
      <c r="E10" s="15" t="s">
        <v>4618</v>
      </c>
      <c r="F10" s="21" t="str">
        <f>HYPERLINK("https://psearch.kitsapgov.com/webappa/index.html?parcelID=1151877&amp;Theme=Imagery","1151877")</f>
        <v>1151877</v>
      </c>
      <c r="G10" s="16" t="s">
        <v>4619</v>
      </c>
      <c r="H10" s="17">
        <v>42065</v>
      </c>
      <c r="I10" s="18">
        <v>1950000</v>
      </c>
      <c r="J10" s="19">
        <v>1.29</v>
      </c>
      <c r="K10" s="16" t="s">
        <v>235</v>
      </c>
      <c r="L10" s="16" t="s">
        <v>38</v>
      </c>
      <c r="M10" s="16" t="s">
        <v>4620</v>
      </c>
      <c r="N10" s="16" t="s">
        <v>4621</v>
      </c>
    </row>
    <row r="11" spans="1:15" ht="39.950000000000003" customHeight="1" x14ac:dyDescent="0.25">
      <c r="A11" s="15" t="s">
        <v>4622</v>
      </c>
      <c r="B11" s="16" t="s">
        <v>33</v>
      </c>
      <c r="C11" s="15">
        <v>8100510</v>
      </c>
      <c r="D11" s="16" t="s">
        <v>401</v>
      </c>
      <c r="E11" s="15" t="s">
        <v>4623</v>
      </c>
      <c r="F11" s="21" t="str">
        <f>HYPERLINK("https://psearch.kitsapgov.com/webappa/index.html?parcelID=1438100&amp;Theme=Imagery","1438100")</f>
        <v>1438100</v>
      </c>
      <c r="G11" s="16" t="s">
        <v>4624</v>
      </c>
      <c r="H11" s="17">
        <v>42062</v>
      </c>
      <c r="I11" s="18">
        <v>84900</v>
      </c>
      <c r="J11" s="19">
        <v>0.11</v>
      </c>
      <c r="K11" s="16" t="s">
        <v>28</v>
      </c>
      <c r="L11" s="16" t="s">
        <v>129</v>
      </c>
      <c r="M11" s="16" t="s">
        <v>4625</v>
      </c>
      <c r="N11" s="16" t="s">
        <v>4626</v>
      </c>
    </row>
    <row r="12" spans="1:15" ht="20.100000000000001" customHeight="1" x14ac:dyDescent="0.25">
      <c r="A12" s="15" t="s">
        <v>4622</v>
      </c>
      <c r="B12" s="16" t="s">
        <v>330</v>
      </c>
      <c r="C12" s="15">
        <v>8100510</v>
      </c>
      <c r="D12" s="16" t="s">
        <v>401</v>
      </c>
      <c r="E12" s="15" t="s">
        <v>4627</v>
      </c>
      <c r="F12" s="21" t="str">
        <f>HYPERLINK("https://psearch.kitsapgov.com/webappa/index.html?parcelID=1467216&amp;Theme=Imagery","1467216")</f>
        <v>1467216</v>
      </c>
      <c r="G12" s="16" t="s">
        <v>4628</v>
      </c>
      <c r="H12" s="17">
        <v>42062</v>
      </c>
      <c r="I12" s="18">
        <v>84900</v>
      </c>
      <c r="J12" s="19">
        <v>0.09</v>
      </c>
      <c r="K12" s="16" t="s">
        <v>28</v>
      </c>
      <c r="L12" s="16" t="s">
        <v>129</v>
      </c>
      <c r="M12" s="16" t="s">
        <v>4625</v>
      </c>
      <c r="N12" s="16" t="s">
        <v>4626</v>
      </c>
    </row>
    <row r="13" spans="1:15" ht="39.950000000000003" customHeight="1" x14ac:dyDescent="0.25">
      <c r="A13" s="15" t="s">
        <v>4629</v>
      </c>
      <c r="B13" s="16" t="s">
        <v>1109</v>
      </c>
      <c r="C13" s="15">
        <v>8402306</v>
      </c>
      <c r="D13" s="16" t="s">
        <v>34</v>
      </c>
      <c r="E13" s="15" t="s">
        <v>4630</v>
      </c>
      <c r="F13" s="21" t="str">
        <f>HYPERLINK("https://psearch.kitsapgov.com/webappa/index.html?parcelID=1738681&amp;Theme=Imagery","1738681")</f>
        <v>1738681</v>
      </c>
      <c r="G13" s="16" t="s">
        <v>4631</v>
      </c>
      <c r="H13" s="17">
        <v>42071</v>
      </c>
      <c r="I13" s="18">
        <v>383000</v>
      </c>
      <c r="J13" s="19">
        <v>0.08</v>
      </c>
      <c r="K13" s="16" t="s">
        <v>37</v>
      </c>
      <c r="L13" s="16" t="s">
        <v>372</v>
      </c>
      <c r="M13" s="16" t="s">
        <v>4632</v>
      </c>
      <c r="N13" s="16" t="s">
        <v>4633</v>
      </c>
    </row>
    <row r="14" spans="1:15" ht="20.100000000000001" customHeight="1" x14ac:dyDescent="0.25">
      <c r="A14" s="15" t="s">
        <v>4629</v>
      </c>
      <c r="B14" s="16" t="s">
        <v>57</v>
      </c>
      <c r="C14" s="15">
        <v>8402306</v>
      </c>
      <c r="D14" s="16" t="s">
        <v>34</v>
      </c>
      <c r="E14" s="15" t="s">
        <v>4634</v>
      </c>
      <c r="F14" s="21" t="str">
        <f>HYPERLINK("https://psearch.kitsapgov.com/webappa/index.html?parcelID=1738699&amp;Theme=Imagery","1738699")</f>
        <v>1738699</v>
      </c>
      <c r="G14" s="16" t="s">
        <v>4635</v>
      </c>
      <c r="H14" s="17">
        <v>42071</v>
      </c>
      <c r="I14" s="18">
        <v>383000</v>
      </c>
      <c r="J14" s="19">
        <v>0.08</v>
      </c>
      <c r="K14" s="16" t="s">
        <v>37</v>
      </c>
      <c r="L14" s="16" t="s">
        <v>372</v>
      </c>
      <c r="M14" s="16" t="s">
        <v>4632</v>
      </c>
      <c r="N14" s="16" t="s">
        <v>4633</v>
      </c>
    </row>
    <row r="15" spans="1:15" ht="39.950000000000003" customHeight="1" x14ac:dyDescent="0.25">
      <c r="A15" s="15" t="s">
        <v>4636</v>
      </c>
      <c r="B15" s="16" t="s">
        <v>306</v>
      </c>
      <c r="C15" s="15">
        <v>8401508</v>
      </c>
      <c r="D15" s="16" t="s">
        <v>90</v>
      </c>
      <c r="E15" s="15" t="s">
        <v>4637</v>
      </c>
      <c r="F15" s="21" t="str">
        <f>HYPERLINK("https://psearch.kitsapgov.com/webappa/index.html?parcelID=2208692&amp;Theme=Imagery","2208692")</f>
        <v>2208692</v>
      </c>
      <c r="G15" s="16" t="s">
        <v>4638</v>
      </c>
      <c r="H15" s="17">
        <v>42088</v>
      </c>
      <c r="I15" s="18">
        <v>725000</v>
      </c>
      <c r="J15" s="19">
        <v>0.92</v>
      </c>
      <c r="K15" s="16" t="s">
        <v>78</v>
      </c>
      <c r="L15" s="16" t="s">
        <v>129</v>
      </c>
      <c r="M15" s="16" t="s">
        <v>4639</v>
      </c>
      <c r="N15" s="16" t="s">
        <v>738</v>
      </c>
    </row>
    <row r="16" spans="1:15" ht="20.100000000000001" customHeight="1" x14ac:dyDescent="0.25">
      <c r="A16" s="15" t="s">
        <v>4636</v>
      </c>
      <c r="B16" s="16" t="s">
        <v>306</v>
      </c>
      <c r="C16" s="15">
        <v>8401508</v>
      </c>
      <c r="D16" s="16" t="s">
        <v>90</v>
      </c>
      <c r="E16" s="15" t="s">
        <v>4640</v>
      </c>
      <c r="F16" s="21" t="str">
        <f>HYPERLINK("https://psearch.kitsapgov.com/webappa/index.html?parcelID=2208700&amp;Theme=Imagery","2208700")</f>
        <v>2208700</v>
      </c>
      <c r="G16" s="16" t="s">
        <v>4641</v>
      </c>
      <c r="H16" s="17">
        <v>42088</v>
      </c>
      <c r="I16" s="18">
        <v>725000</v>
      </c>
      <c r="J16" s="19">
        <v>0.92</v>
      </c>
      <c r="K16" s="16" t="s">
        <v>78</v>
      </c>
      <c r="L16" s="16" t="s">
        <v>129</v>
      </c>
      <c r="M16" s="16" t="s">
        <v>4639</v>
      </c>
      <c r="N16" s="16" t="s">
        <v>738</v>
      </c>
    </row>
    <row r="17" spans="1:14" ht="39.950000000000003" customHeight="1" x14ac:dyDescent="0.25">
      <c r="A17" s="15" t="s">
        <v>4642</v>
      </c>
      <c r="B17" s="16" t="s">
        <v>57</v>
      </c>
      <c r="C17" s="15">
        <v>8400203</v>
      </c>
      <c r="D17" s="16" t="s">
        <v>97</v>
      </c>
      <c r="E17" s="15" t="s">
        <v>4643</v>
      </c>
      <c r="F17" s="21" t="str">
        <f>HYPERLINK("https://psearch.kitsapgov.com/webappa/index.html?parcelID=1335884&amp;Theme=Imagery","1335884")</f>
        <v>1335884</v>
      </c>
      <c r="G17" s="16" t="s">
        <v>4644</v>
      </c>
      <c r="H17" s="17">
        <v>42125</v>
      </c>
      <c r="I17" s="18">
        <v>300000</v>
      </c>
      <c r="J17" s="19">
        <v>1.1100000000000001</v>
      </c>
      <c r="K17" s="16" t="s">
        <v>100</v>
      </c>
      <c r="L17" s="16" t="s">
        <v>4645</v>
      </c>
      <c r="M17" s="16" t="s">
        <v>4646</v>
      </c>
      <c r="N17" s="16" t="s">
        <v>4647</v>
      </c>
    </row>
    <row r="18" spans="1:14" ht="20.100000000000001" customHeight="1" x14ac:dyDescent="0.25">
      <c r="A18" s="15" t="s">
        <v>4642</v>
      </c>
      <c r="B18" s="16" t="s">
        <v>57</v>
      </c>
      <c r="C18" s="15">
        <v>8400203</v>
      </c>
      <c r="D18" s="16" t="s">
        <v>97</v>
      </c>
      <c r="E18" s="15" t="s">
        <v>4648</v>
      </c>
      <c r="F18" s="21" t="str">
        <f>HYPERLINK("https://psearch.kitsapgov.com/webappa/index.html?parcelID=1336064&amp;Theme=Imagery","1336064")</f>
        <v>1336064</v>
      </c>
      <c r="G18" s="16" t="s">
        <v>4644</v>
      </c>
      <c r="H18" s="17">
        <v>42125</v>
      </c>
      <c r="I18" s="18">
        <v>300000</v>
      </c>
      <c r="J18" s="19">
        <v>1.05</v>
      </c>
      <c r="K18" s="16" t="s">
        <v>100</v>
      </c>
      <c r="L18" s="16" t="s">
        <v>4645</v>
      </c>
      <c r="M18" s="16" t="s">
        <v>4646</v>
      </c>
      <c r="N18" s="16" t="s">
        <v>4647</v>
      </c>
    </row>
    <row r="19" spans="1:14" ht="39.950000000000003" customHeight="1" x14ac:dyDescent="0.25">
      <c r="A19" s="15" t="s">
        <v>4649</v>
      </c>
      <c r="B19" s="16" t="s">
        <v>33</v>
      </c>
      <c r="C19" s="15">
        <v>8400201</v>
      </c>
      <c r="D19" s="16" t="s">
        <v>941</v>
      </c>
      <c r="E19" s="15" t="s">
        <v>3935</v>
      </c>
      <c r="F19" s="21" t="str">
        <f>HYPERLINK("https://psearch.kitsapgov.com/webappa/index.html?parcelID=2366854&amp;Theme=Imagery","2366854")</f>
        <v>2366854</v>
      </c>
      <c r="G19" s="16" t="s">
        <v>3936</v>
      </c>
      <c r="H19" s="17">
        <v>42128</v>
      </c>
      <c r="I19" s="18">
        <v>1158836</v>
      </c>
      <c r="J19" s="19">
        <v>0.11</v>
      </c>
      <c r="K19" s="16" t="s">
        <v>944</v>
      </c>
      <c r="L19" s="16" t="s">
        <v>129</v>
      </c>
      <c r="M19" s="16" t="s">
        <v>4650</v>
      </c>
      <c r="N19" s="16" t="s">
        <v>4651</v>
      </c>
    </row>
    <row r="20" spans="1:14" ht="20.100000000000001" customHeight="1" x14ac:dyDescent="0.25">
      <c r="A20" s="15" t="s">
        <v>4649</v>
      </c>
      <c r="B20" s="16" t="s">
        <v>89</v>
      </c>
      <c r="C20" s="15">
        <v>8400201</v>
      </c>
      <c r="D20" s="16" t="s">
        <v>941</v>
      </c>
      <c r="E20" s="15" t="s">
        <v>3751</v>
      </c>
      <c r="F20" s="21" t="str">
        <f>HYPERLINK("https://psearch.kitsapgov.com/webappa/index.html?parcelID=2366862&amp;Theme=Imagery","2366862")</f>
        <v>2366862</v>
      </c>
      <c r="G20" s="16" t="s">
        <v>3752</v>
      </c>
      <c r="H20" s="17">
        <v>42128</v>
      </c>
      <c r="I20" s="18">
        <v>1158836</v>
      </c>
      <c r="J20" s="19">
        <v>0.28000000000000003</v>
      </c>
      <c r="K20" s="16" t="s">
        <v>944</v>
      </c>
      <c r="L20" s="16" t="s">
        <v>129</v>
      </c>
      <c r="M20" s="16" t="s">
        <v>4650</v>
      </c>
      <c r="N20" s="16" t="s">
        <v>4651</v>
      </c>
    </row>
    <row r="21" spans="1:14" ht="39.950000000000003" customHeight="1" x14ac:dyDescent="0.25">
      <c r="A21" s="15" t="s">
        <v>4652</v>
      </c>
      <c r="B21" s="16" t="s">
        <v>368</v>
      </c>
      <c r="C21" s="15">
        <v>8402307</v>
      </c>
      <c r="D21" s="16" t="s">
        <v>151</v>
      </c>
      <c r="E21" s="15" t="s">
        <v>4653</v>
      </c>
      <c r="F21" s="21" t="str">
        <f>HYPERLINK("https://psearch.kitsapgov.com/webappa/index.html?parcelID=2434090&amp;Theme=Imagery","2434090")</f>
        <v>2434090</v>
      </c>
      <c r="G21" s="16" t="s">
        <v>4654</v>
      </c>
      <c r="H21" s="17">
        <v>42138</v>
      </c>
      <c r="I21" s="18">
        <v>13740000</v>
      </c>
      <c r="J21" s="19">
        <v>6</v>
      </c>
      <c r="K21" s="16" t="s">
        <v>4655</v>
      </c>
      <c r="L21" s="16" t="s">
        <v>4656</v>
      </c>
      <c r="M21" s="16" t="s">
        <v>4657</v>
      </c>
      <c r="N21" s="16" t="s">
        <v>4658</v>
      </c>
    </row>
    <row r="22" spans="1:14" ht="20.100000000000001" customHeight="1" x14ac:dyDescent="0.25">
      <c r="A22" s="15" t="s">
        <v>4652</v>
      </c>
      <c r="B22" s="16" t="s">
        <v>368</v>
      </c>
      <c r="C22" s="15">
        <v>8402307</v>
      </c>
      <c r="D22" s="16" t="s">
        <v>151</v>
      </c>
      <c r="E22" s="15" t="s">
        <v>4659</v>
      </c>
      <c r="F22" s="21" t="str">
        <f>HYPERLINK("https://psearch.kitsapgov.com/webappa/index.html?parcelID=2575090&amp;Theme=Imagery","2575090")</f>
        <v>2575090</v>
      </c>
      <c r="G22" s="16" t="s">
        <v>4660</v>
      </c>
      <c r="H22" s="17">
        <v>42138</v>
      </c>
      <c r="I22" s="18">
        <v>13740000</v>
      </c>
      <c r="J22" s="19">
        <v>1.89</v>
      </c>
      <c r="K22" s="16" t="s">
        <v>4655</v>
      </c>
      <c r="L22" s="16" t="s">
        <v>4656</v>
      </c>
      <c r="M22" s="16" t="s">
        <v>4657</v>
      </c>
      <c r="N22" s="16" t="s">
        <v>4658</v>
      </c>
    </row>
    <row r="23" spans="1:14" ht="39.950000000000003" customHeight="1" x14ac:dyDescent="0.25">
      <c r="A23" s="15" t="s">
        <v>4661</v>
      </c>
      <c r="B23" s="16" t="s">
        <v>49</v>
      </c>
      <c r="C23" s="15">
        <v>8100504</v>
      </c>
      <c r="D23" s="16" t="s">
        <v>58</v>
      </c>
      <c r="E23" s="15" t="s">
        <v>4662</v>
      </c>
      <c r="F23" s="21" t="str">
        <f>HYPERLINK("https://psearch.kitsapgov.com/webappa/index.html?parcelID=1159052&amp;Theme=Imagery","1159052")</f>
        <v>1159052</v>
      </c>
      <c r="G23" s="16" t="s">
        <v>4663</v>
      </c>
      <c r="H23" s="17">
        <v>42143</v>
      </c>
      <c r="I23" s="18">
        <v>216000</v>
      </c>
      <c r="J23" s="19">
        <v>0.23</v>
      </c>
      <c r="K23" s="16" t="s">
        <v>78</v>
      </c>
      <c r="L23" s="16" t="s">
        <v>4645</v>
      </c>
      <c r="M23" s="16" t="s">
        <v>4664</v>
      </c>
      <c r="N23" s="16" t="s">
        <v>4665</v>
      </c>
    </row>
    <row r="24" spans="1:14" ht="20.100000000000001" customHeight="1" x14ac:dyDescent="0.25">
      <c r="A24" s="15" t="s">
        <v>4661</v>
      </c>
      <c r="B24" s="16" t="s">
        <v>57</v>
      </c>
      <c r="C24" s="15">
        <v>8100504</v>
      </c>
      <c r="D24" s="16" t="s">
        <v>58</v>
      </c>
      <c r="E24" s="15" t="s">
        <v>4666</v>
      </c>
      <c r="F24" s="21" t="str">
        <f>HYPERLINK("https://psearch.kitsapgov.com/webappa/index.html?parcelID=1159060&amp;Theme=Imagery","1159060")</f>
        <v>1159060</v>
      </c>
      <c r="G24" s="16" t="s">
        <v>4667</v>
      </c>
      <c r="H24" s="17">
        <v>42143</v>
      </c>
      <c r="I24" s="18">
        <v>216000</v>
      </c>
      <c r="J24" s="19">
        <v>0.23</v>
      </c>
      <c r="K24" s="16" t="s">
        <v>78</v>
      </c>
      <c r="L24" s="16" t="s">
        <v>4645</v>
      </c>
      <c r="M24" s="16" t="s">
        <v>4664</v>
      </c>
      <c r="N24" s="16" t="s">
        <v>4665</v>
      </c>
    </row>
    <row r="25" spans="1:14" ht="39.950000000000003" customHeight="1" x14ac:dyDescent="0.25">
      <c r="A25" s="15" t="s">
        <v>4668</v>
      </c>
      <c r="B25" s="16" t="s">
        <v>66</v>
      </c>
      <c r="C25" s="15">
        <v>8100502</v>
      </c>
      <c r="D25" s="16" t="s">
        <v>67</v>
      </c>
      <c r="E25" s="15" t="s">
        <v>4669</v>
      </c>
      <c r="F25" s="21" t="str">
        <f>HYPERLINK("https://psearch.kitsapgov.com/webappa/index.html?parcelID=2055382&amp;Theme=Imagery","2055382")</f>
        <v>2055382</v>
      </c>
      <c r="G25" s="16" t="s">
        <v>4670</v>
      </c>
      <c r="H25" s="17">
        <v>42143</v>
      </c>
      <c r="I25" s="18">
        <v>300000</v>
      </c>
      <c r="J25" s="19">
        <v>0.67</v>
      </c>
      <c r="K25" s="16" t="s">
        <v>85</v>
      </c>
      <c r="L25" s="16" t="s">
        <v>246</v>
      </c>
      <c r="M25" s="16" t="s">
        <v>4671</v>
      </c>
      <c r="N25" s="16" t="s">
        <v>4672</v>
      </c>
    </row>
    <row r="26" spans="1:14" ht="20.100000000000001" customHeight="1" x14ac:dyDescent="0.25">
      <c r="A26" s="15" t="s">
        <v>4668</v>
      </c>
      <c r="B26" s="16" t="s">
        <v>57</v>
      </c>
      <c r="C26" s="15">
        <v>8100502</v>
      </c>
      <c r="D26" s="16" t="s">
        <v>67</v>
      </c>
      <c r="E26" s="15" t="s">
        <v>4673</v>
      </c>
      <c r="F26" s="21" t="str">
        <f>HYPERLINK("https://psearch.kitsapgov.com/webappa/index.html?parcelID=2055390&amp;Theme=Imagery","2055390")</f>
        <v>2055390</v>
      </c>
      <c r="G26" s="16" t="s">
        <v>4674</v>
      </c>
      <c r="H26" s="17">
        <v>42143</v>
      </c>
      <c r="I26" s="18">
        <v>300000</v>
      </c>
      <c r="J26" s="19">
        <v>0.44</v>
      </c>
      <c r="K26" s="16" t="s">
        <v>85</v>
      </c>
      <c r="L26" s="16" t="s">
        <v>246</v>
      </c>
      <c r="M26" s="16" t="s">
        <v>4671</v>
      </c>
      <c r="N26" s="16" t="s">
        <v>4672</v>
      </c>
    </row>
    <row r="27" spans="1:14" ht="39.950000000000003" customHeight="1" x14ac:dyDescent="0.25">
      <c r="A27" s="15" t="s">
        <v>4675</v>
      </c>
      <c r="B27" s="16" t="s">
        <v>4676</v>
      </c>
      <c r="C27" s="15">
        <v>8100506</v>
      </c>
      <c r="D27" s="16" t="s">
        <v>25</v>
      </c>
      <c r="E27" s="15" t="s">
        <v>4677</v>
      </c>
      <c r="F27" s="21" t="str">
        <f>HYPERLINK("https://psearch.kitsapgov.com/webappa/index.html?parcelID=2370898&amp;Theme=Imagery","2370898")</f>
        <v>2370898</v>
      </c>
      <c r="G27" s="16" t="s">
        <v>4678</v>
      </c>
      <c r="H27" s="17">
        <v>42151</v>
      </c>
      <c r="I27" s="18">
        <v>3668563</v>
      </c>
      <c r="J27" s="19">
        <v>4.95</v>
      </c>
      <c r="K27" s="16" t="s">
        <v>28</v>
      </c>
      <c r="L27" s="16" t="s">
        <v>4645</v>
      </c>
      <c r="M27" s="16" t="s">
        <v>224</v>
      </c>
      <c r="N27" s="16" t="s">
        <v>4679</v>
      </c>
    </row>
    <row r="28" spans="1:14" ht="20.100000000000001" customHeight="1" x14ac:dyDescent="0.25">
      <c r="A28" s="15" t="s">
        <v>4675</v>
      </c>
      <c r="B28" s="16" t="s">
        <v>330</v>
      </c>
      <c r="C28" s="15">
        <v>8100506</v>
      </c>
      <c r="D28" s="16" t="s">
        <v>25</v>
      </c>
      <c r="E28" s="15" t="s">
        <v>4680</v>
      </c>
      <c r="F28" s="21" t="str">
        <f>HYPERLINK("https://psearch.kitsapgov.com/webappa/index.html?parcelID=2394609&amp;Theme=Imagery","2394609")</f>
        <v>2394609</v>
      </c>
      <c r="G28" s="16" t="s">
        <v>4681</v>
      </c>
      <c r="H28" s="17">
        <v>42151</v>
      </c>
      <c r="I28" s="18">
        <v>3668563</v>
      </c>
      <c r="J28" s="19">
        <v>0.33</v>
      </c>
      <c r="K28" s="16" t="s">
        <v>28</v>
      </c>
      <c r="L28" s="16" t="s">
        <v>4645</v>
      </c>
      <c r="M28" s="16" t="s">
        <v>224</v>
      </c>
      <c r="N28" s="16" t="s">
        <v>4679</v>
      </c>
    </row>
    <row r="29" spans="1:14" ht="39.950000000000003" customHeight="1" x14ac:dyDescent="0.25">
      <c r="A29" s="15" t="s">
        <v>4682</v>
      </c>
      <c r="B29" s="16" t="s">
        <v>57</v>
      </c>
      <c r="C29" s="15">
        <v>8400204</v>
      </c>
      <c r="D29" s="16" t="s">
        <v>178</v>
      </c>
      <c r="E29" s="15" t="s">
        <v>4683</v>
      </c>
      <c r="F29" s="21" t="str">
        <f>HYPERLINK("https://psearch.kitsapgov.com/webappa/index.html?parcelID=2520526&amp;Theme=Imagery","2520526")</f>
        <v>2520526</v>
      </c>
      <c r="G29" s="16" t="s">
        <v>4684</v>
      </c>
      <c r="H29" s="17">
        <v>42150</v>
      </c>
      <c r="I29" s="18">
        <v>219200</v>
      </c>
      <c r="J29" s="19">
        <v>2.12</v>
      </c>
      <c r="K29" s="16" t="s">
        <v>194</v>
      </c>
      <c r="L29" s="16" t="s">
        <v>4645</v>
      </c>
      <c r="M29" s="16" t="s">
        <v>86</v>
      </c>
      <c r="N29" s="16" t="s">
        <v>893</v>
      </c>
    </row>
    <row r="30" spans="1:14" ht="39.950000000000003" customHeight="1" x14ac:dyDescent="0.25">
      <c r="A30" s="15" t="s">
        <v>4685</v>
      </c>
      <c r="B30" s="16" t="s">
        <v>239</v>
      </c>
      <c r="C30" s="15">
        <v>8100502</v>
      </c>
      <c r="D30" s="16" t="s">
        <v>67</v>
      </c>
      <c r="E30" s="15" t="s">
        <v>4686</v>
      </c>
      <c r="F30" s="21" t="str">
        <f>HYPERLINK("https://psearch.kitsapgov.com/webappa/index.html?parcelID=1151901&amp;Theme=Imagery","1151901")</f>
        <v>1151901</v>
      </c>
      <c r="G30" s="16" t="s">
        <v>4687</v>
      </c>
      <c r="H30" s="17">
        <v>42177</v>
      </c>
      <c r="I30" s="18">
        <v>1000000</v>
      </c>
      <c r="J30" s="19">
        <v>0.96</v>
      </c>
      <c r="K30" s="16" t="s">
        <v>85</v>
      </c>
      <c r="L30" s="16" t="s">
        <v>20</v>
      </c>
      <c r="M30" s="16" t="s">
        <v>4688</v>
      </c>
      <c r="N30" s="16" t="s">
        <v>4689</v>
      </c>
    </row>
    <row r="31" spans="1:14" ht="39.950000000000003" customHeight="1" x14ac:dyDescent="0.25">
      <c r="A31" s="15" t="s">
        <v>4690</v>
      </c>
      <c r="B31" s="16" t="s">
        <v>1031</v>
      </c>
      <c r="C31" s="15">
        <v>8402307</v>
      </c>
      <c r="D31" s="16" t="s">
        <v>151</v>
      </c>
      <c r="E31" s="15" t="s">
        <v>4691</v>
      </c>
      <c r="F31" s="21" t="str">
        <f>HYPERLINK("https://psearch.kitsapgov.com/webappa/index.html?parcelID=1999663&amp;Theme=Imagery","1999663")</f>
        <v>1999663</v>
      </c>
      <c r="G31" s="16" t="s">
        <v>4692</v>
      </c>
      <c r="H31" s="17">
        <v>42069</v>
      </c>
      <c r="I31" s="18">
        <v>114722</v>
      </c>
      <c r="J31" s="19">
        <v>9.24</v>
      </c>
      <c r="K31" s="16" t="s">
        <v>333</v>
      </c>
      <c r="L31" s="16" t="s">
        <v>246</v>
      </c>
      <c r="M31" s="16" t="s">
        <v>4693</v>
      </c>
      <c r="N31" s="16" t="s">
        <v>4694</v>
      </c>
    </row>
    <row r="32" spans="1:14" ht="20.100000000000001" customHeight="1" x14ac:dyDescent="0.25">
      <c r="A32" s="15" t="s">
        <v>4690</v>
      </c>
      <c r="B32" s="16" t="s">
        <v>1031</v>
      </c>
      <c r="C32" s="15">
        <v>8402307</v>
      </c>
      <c r="D32" s="16" t="s">
        <v>151</v>
      </c>
      <c r="E32" s="15" t="s">
        <v>4695</v>
      </c>
      <c r="F32" s="21" t="str">
        <f>HYPERLINK("https://psearch.kitsapgov.com/webappa/index.html?parcelID=2294106&amp;Theme=Imagery","2294106")</f>
        <v>2294106</v>
      </c>
      <c r="G32" s="16" t="s">
        <v>4696</v>
      </c>
      <c r="H32" s="17">
        <v>42069</v>
      </c>
      <c r="I32" s="18">
        <v>114722</v>
      </c>
      <c r="J32" s="19">
        <v>4.6900000000000004</v>
      </c>
      <c r="K32" s="16" t="s">
        <v>333</v>
      </c>
      <c r="L32" s="16" t="s">
        <v>246</v>
      </c>
      <c r="M32" s="16" t="s">
        <v>4693</v>
      </c>
      <c r="N32" s="16" t="s">
        <v>4694</v>
      </c>
    </row>
    <row r="33" spans="1:14" ht="39.950000000000003" customHeight="1" x14ac:dyDescent="0.25">
      <c r="A33" s="15" t="s">
        <v>4697</v>
      </c>
      <c r="B33" s="16" t="s">
        <v>704</v>
      </c>
      <c r="C33" s="15">
        <v>8303601</v>
      </c>
      <c r="D33" s="16" t="s">
        <v>50</v>
      </c>
      <c r="E33" s="15" t="s">
        <v>1332</v>
      </c>
      <c r="F33" s="21" t="str">
        <f>HYPERLINK("https://psearch.kitsapgov.com/webappa/index.html?parcelID=2434181&amp;Theme=Imagery","2434181")</f>
        <v>2434181</v>
      </c>
      <c r="G33" s="16" t="s">
        <v>1333</v>
      </c>
      <c r="H33" s="17">
        <v>42170</v>
      </c>
      <c r="I33" s="18">
        <v>90000</v>
      </c>
      <c r="J33" s="19">
        <v>4.9800000000000004</v>
      </c>
      <c r="K33" s="16" t="s">
        <v>326</v>
      </c>
      <c r="L33" s="16" t="s">
        <v>290</v>
      </c>
      <c r="M33" s="16" t="s">
        <v>4698</v>
      </c>
      <c r="N33" s="16" t="s">
        <v>4699</v>
      </c>
    </row>
    <row r="34" spans="1:14" ht="39.950000000000003" customHeight="1" x14ac:dyDescent="0.25">
      <c r="A34" s="15" t="s">
        <v>4700</v>
      </c>
      <c r="B34" s="16" t="s">
        <v>57</v>
      </c>
      <c r="C34" s="15">
        <v>9100592</v>
      </c>
      <c r="D34" s="16" t="s">
        <v>105</v>
      </c>
      <c r="E34" s="15" t="s">
        <v>4701</v>
      </c>
      <c r="F34" s="21" t="str">
        <f>HYPERLINK("https://psearch.kitsapgov.com/webappa/index.html?parcelID=1135284&amp;Theme=Imagery","1135284")</f>
        <v>1135284</v>
      </c>
      <c r="G34" s="16" t="s">
        <v>107</v>
      </c>
      <c r="H34" s="17">
        <v>42221</v>
      </c>
      <c r="I34" s="18">
        <v>38000</v>
      </c>
      <c r="J34" s="19">
        <v>0.55000000000000004</v>
      </c>
      <c r="K34" s="16" t="s">
        <v>78</v>
      </c>
      <c r="L34" s="16" t="s">
        <v>4645</v>
      </c>
      <c r="M34" s="16" t="s">
        <v>4702</v>
      </c>
      <c r="N34" s="16" t="s">
        <v>4703</v>
      </c>
    </row>
    <row r="35" spans="1:14" ht="20.100000000000001" customHeight="1" x14ac:dyDescent="0.25">
      <c r="A35" s="15" t="s">
        <v>4700</v>
      </c>
      <c r="B35" s="16" t="s">
        <v>57</v>
      </c>
      <c r="C35" s="15">
        <v>9100592</v>
      </c>
      <c r="D35" s="16" t="s">
        <v>105</v>
      </c>
      <c r="E35" s="15" t="s">
        <v>4704</v>
      </c>
      <c r="F35" s="21" t="str">
        <f>HYPERLINK("https://psearch.kitsapgov.com/webappa/index.html?parcelID=1136001&amp;Theme=Imagery","1136001")</f>
        <v>1136001</v>
      </c>
      <c r="G35" s="16" t="s">
        <v>107</v>
      </c>
      <c r="H35" s="17">
        <v>42221</v>
      </c>
      <c r="I35" s="18">
        <v>38000</v>
      </c>
      <c r="J35" s="19">
        <v>0.55000000000000004</v>
      </c>
      <c r="K35" s="16" t="s">
        <v>78</v>
      </c>
      <c r="L35" s="16" t="s">
        <v>4645</v>
      </c>
      <c r="M35" s="16" t="s">
        <v>4702</v>
      </c>
      <c r="N35" s="16" t="s">
        <v>4703</v>
      </c>
    </row>
    <row r="36" spans="1:14" ht="39.950000000000003" customHeight="1" x14ac:dyDescent="0.25">
      <c r="A36" s="15" t="s">
        <v>4705</v>
      </c>
      <c r="B36" s="16" t="s">
        <v>89</v>
      </c>
      <c r="C36" s="15">
        <v>9400331</v>
      </c>
      <c r="D36" s="16" t="s">
        <v>4706</v>
      </c>
      <c r="E36" s="15" t="s">
        <v>4707</v>
      </c>
      <c r="F36" s="21" t="str">
        <f>HYPERLINK("https://psearch.kitsapgov.com/webappa/index.html?parcelID=1396639&amp;Theme=Imagery","1396639")</f>
        <v>1396639</v>
      </c>
      <c r="G36" s="16" t="s">
        <v>4708</v>
      </c>
      <c r="H36" s="17">
        <v>42230</v>
      </c>
      <c r="I36" s="18">
        <v>225000</v>
      </c>
      <c r="J36" s="19">
        <v>34.409999999999997</v>
      </c>
      <c r="K36" s="16" t="s">
        <v>4709</v>
      </c>
      <c r="L36" s="16" t="s">
        <v>542</v>
      </c>
      <c r="M36" s="16" t="s">
        <v>4710</v>
      </c>
      <c r="N36" s="16" t="s">
        <v>4711</v>
      </c>
    </row>
    <row r="37" spans="1:14" ht="39.950000000000003" customHeight="1" x14ac:dyDescent="0.25">
      <c r="A37" s="15" t="s">
        <v>4712</v>
      </c>
      <c r="B37" s="16" t="s">
        <v>57</v>
      </c>
      <c r="C37" s="15">
        <v>8400202</v>
      </c>
      <c r="D37" s="16" t="s">
        <v>158</v>
      </c>
      <c r="E37" s="15" t="s">
        <v>283</v>
      </c>
      <c r="F37" s="21" t="str">
        <f>HYPERLINK("https://psearch.kitsapgov.com/webappa/index.html?parcelID=2395317&amp;Theme=Imagery","2395317")</f>
        <v>2395317</v>
      </c>
      <c r="G37" s="16" t="s">
        <v>284</v>
      </c>
      <c r="H37" s="17">
        <v>42234</v>
      </c>
      <c r="I37" s="18">
        <v>220040</v>
      </c>
      <c r="J37" s="19">
        <v>1.25</v>
      </c>
      <c r="K37" s="16" t="s">
        <v>279</v>
      </c>
      <c r="L37" s="16" t="s">
        <v>4645</v>
      </c>
      <c r="M37" s="16" t="s">
        <v>4713</v>
      </c>
      <c r="N37" s="16" t="s">
        <v>4714</v>
      </c>
    </row>
    <row r="38" spans="1:14" ht="20.100000000000001" customHeight="1" x14ac:dyDescent="0.25">
      <c r="A38" s="15" t="s">
        <v>4712</v>
      </c>
      <c r="B38" s="16" t="s">
        <v>57</v>
      </c>
      <c r="C38" s="15">
        <v>8400202</v>
      </c>
      <c r="D38" s="16" t="s">
        <v>158</v>
      </c>
      <c r="E38" s="15" t="s">
        <v>277</v>
      </c>
      <c r="F38" s="21" t="str">
        <f>HYPERLINK("https://psearch.kitsapgov.com/webappa/index.html?parcelID=2395325&amp;Theme=Imagery","2395325")</f>
        <v>2395325</v>
      </c>
      <c r="G38" s="16" t="s">
        <v>278</v>
      </c>
      <c r="H38" s="17">
        <v>42234</v>
      </c>
      <c r="I38" s="18">
        <v>220040</v>
      </c>
      <c r="J38" s="19">
        <v>1.1000000000000001</v>
      </c>
      <c r="K38" s="16" t="s">
        <v>279</v>
      </c>
      <c r="L38" s="16" t="s">
        <v>4645</v>
      </c>
      <c r="M38" s="16" t="s">
        <v>4713</v>
      </c>
      <c r="N38" s="16" t="s">
        <v>4714</v>
      </c>
    </row>
    <row r="39" spans="1:14" ht="39.950000000000003" customHeight="1" x14ac:dyDescent="0.25">
      <c r="A39" s="15" t="s">
        <v>4715</v>
      </c>
      <c r="B39" s="16" t="s">
        <v>347</v>
      </c>
      <c r="C39" s="15">
        <v>8400207</v>
      </c>
      <c r="D39" s="16" t="s">
        <v>998</v>
      </c>
      <c r="E39" s="15" t="s">
        <v>4716</v>
      </c>
      <c r="F39" s="21" t="str">
        <f>HYPERLINK("https://psearch.kitsapgov.com/webappa/index.html?parcelID=2592673&amp;Theme=Imagery","2592673")</f>
        <v>2592673</v>
      </c>
      <c r="G39" s="16" t="s">
        <v>4717</v>
      </c>
      <c r="H39" s="17">
        <v>42242</v>
      </c>
      <c r="I39" s="18">
        <v>1429000</v>
      </c>
      <c r="J39" s="19">
        <v>0.56999999999999995</v>
      </c>
      <c r="K39" s="16" t="s">
        <v>100</v>
      </c>
      <c r="L39" s="16" t="s">
        <v>4645</v>
      </c>
      <c r="M39" s="16" t="s">
        <v>4718</v>
      </c>
      <c r="N39" s="16" t="s">
        <v>4719</v>
      </c>
    </row>
    <row r="40" spans="1:14" ht="20.100000000000001" customHeight="1" x14ac:dyDescent="0.25">
      <c r="A40" s="15" t="s">
        <v>4715</v>
      </c>
      <c r="B40" s="16" t="s">
        <v>89</v>
      </c>
      <c r="C40" s="15">
        <v>8400207</v>
      </c>
      <c r="D40" s="16" t="s">
        <v>998</v>
      </c>
      <c r="E40" s="15" t="s">
        <v>4720</v>
      </c>
      <c r="F40" s="21" t="str">
        <f>HYPERLINK("https://psearch.kitsapgov.com/webappa/index.html?parcelID=2592681&amp;Theme=Imagery","2592681")</f>
        <v>2592681</v>
      </c>
      <c r="G40" s="16" t="s">
        <v>4721</v>
      </c>
      <c r="H40" s="17">
        <v>42242</v>
      </c>
      <c r="I40" s="18">
        <v>1429000</v>
      </c>
      <c r="J40" s="19">
        <v>1.25</v>
      </c>
      <c r="K40" s="16" t="s">
        <v>100</v>
      </c>
      <c r="L40" s="16" t="s">
        <v>4645</v>
      </c>
      <c r="M40" s="16" t="s">
        <v>4718</v>
      </c>
      <c r="N40" s="16" t="s">
        <v>4719</v>
      </c>
    </row>
    <row r="41" spans="1:14" ht="39.950000000000003" customHeight="1" x14ac:dyDescent="0.25">
      <c r="A41" s="15" t="s">
        <v>4722</v>
      </c>
      <c r="B41" s="16" t="s">
        <v>49</v>
      </c>
      <c r="C41" s="15">
        <v>8100502</v>
      </c>
      <c r="D41" s="16" t="s">
        <v>67</v>
      </c>
      <c r="E41" s="15" t="s">
        <v>4723</v>
      </c>
      <c r="F41" s="21" t="str">
        <f>HYPERLINK("https://psearch.kitsapgov.com/webappa/index.html?parcelID=1158401&amp;Theme=Imagery","1158401")</f>
        <v>1158401</v>
      </c>
      <c r="G41" s="16" t="s">
        <v>4724</v>
      </c>
      <c r="H41" s="17">
        <v>42263</v>
      </c>
      <c r="I41" s="18">
        <v>96990</v>
      </c>
      <c r="J41" s="19">
        <v>0.33</v>
      </c>
      <c r="K41" s="16" t="s">
        <v>70</v>
      </c>
      <c r="L41" s="16" t="s">
        <v>246</v>
      </c>
      <c r="M41" s="16" t="s">
        <v>4725</v>
      </c>
      <c r="N41" s="16" t="s">
        <v>4726</v>
      </c>
    </row>
    <row r="42" spans="1:14" ht="20.100000000000001" customHeight="1" x14ac:dyDescent="0.25">
      <c r="A42" s="15" t="s">
        <v>4722</v>
      </c>
      <c r="B42" s="16" t="s">
        <v>57</v>
      </c>
      <c r="C42" s="15">
        <v>8100502</v>
      </c>
      <c r="D42" s="16" t="s">
        <v>67</v>
      </c>
      <c r="E42" s="15" t="s">
        <v>4727</v>
      </c>
      <c r="F42" s="21" t="str">
        <f>HYPERLINK("https://psearch.kitsapgov.com/webappa/index.html?parcelID=1158419&amp;Theme=Imagery","1158419")</f>
        <v>1158419</v>
      </c>
      <c r="G42" s="16" t="s">
        <v>4728</v>
      </c>
      <c r="H42" s="17">
        <v>42263</v>
      </c>
      <c r="I42" s="18">
        <v>96990</v>
      </c>
      <c r="J42" s="19">
        <v>0.33</v>
      </c>
      <c r="K42" s="16" t="s">
        <v>70</v>
      </c>
      <c r="L42" s="16" t="s">
        <v>246</v>
      </c>
      <c r="M42" s="16" t="s">
        <v>4725</v>
      </c>
      <c r="N42" s="16" t="s">
        <v>4726</v>
      </c>
    </row>
    <row r="43" spans="1:14" ht="39.950000000000003" customHeight="1" x14ac:dyDescent="0.25">
      <c r="A43" s="15" t="s">
        <v>4729</v>
      </c>
      <c r="B43" s="16" t="s">
        <v>124</v>
      </c>
      <c r="C43" s="15">
        <v>9303604</v>
      </c>
      <c r="D43" s="16" t="s">
        <v>967</v>
      </c>
      <c r="E43" s="15" t="s">
        <v>4730</v>
      </c>
      <c r="F43" s="21" t="str">
        <f>HYPERLINK("https://psearch.kitsapgov.com/webappa/index.html?parcelID=1308600&amp;Theme=Imagery","1308600")</f>
        <v>1308600</v>
      </c>
      <c r="G43" s="16" t="s">
        <v>1889</v>
      </c>
      <c r="H43" s="17">
        <v>42269</v>
      </c>
      <c r="I43" s="18">
        <v>1125790</v>
      </c>
      <c r="J43" s="19">
        <v>0.36</v>
      </c>
      <c r="K43" s="16" t="s">
        <v>1463</v>
      </c>
      <c r="L43" s="16" t="s">
        <v>4645</v>
      </c>
      <c r="M43" s="16" t="s">
        <v>4731</v>
      </c>
      <c r="N43" s="16" t="s">
        <v>972</v>
      </c>
    </row>
    <row r="44" spans="1:14" ht="20.100000000000001" customHeight="1" x14ac:dyDescent="0.25">
      <c r="A44" s="15" t="s">
        <v>4729</v>
      </c>
      <c r="B44" s="16" t="s">
        <v>124</v>
      </c>
      <c r="C44" s="15">
        <v>9303604</v>
      </c>
      <c r="D44" s="16" t="s">
        <v>967</v>
      </c>
      <c r="E44" s="15" t="s">
        <v>4732</v>
      </c>
      <c r="F44" s="21" t="str">
        <f>HYPERLINK("https://psearch.kitsapgov.com/webappa/index.html?parcelID=1972421&amp;Theme=Imagery","1972421")</f>
        <v>1972421</v>
      </c>
      <c r="G44" s="16" t="s">
        <v>1889</v>
      </c>
      <c r="H44" s="17">
        <v>42269</v>
      </c>
      <c r="I44" s="18">
        <v>1125790</v>
      </c>
      <c r="J44" s="19">
        <v>0.33</v>
      </c>
      <c r="K44" s="16" t="s">
        <v>1463</v>
      </c>
      <c r="L44" s="16" t="s">
        <v>4645</v>
      </c>
      <c r="M44" s="16" t="s">
        <v>4731</v>
      </c>
      <c r="N44" s="16" t="s">
        <v>972</v>
      </c>
    </row>
    <row r="45" spans="1:14" ht="39.950000000000003" customHeight="1" x14ac:dyDescent="0.25">
      <c r="A45" s="15" t="s">
        <v>4733</v>
      </c>
      <c r="B45" s="16" t="s">
        <v>57</v>
      </c>
      <c r="C45" s="15">
        <v>8100501</v>
      </c>
      <c r="D45" s="16" t="s">
        <v>117</v>
      </c>
      <c r="E45" s="15" t="s">
        <v>4734</v>
      </c>
      <c r="F45" s="21" t="str">
        <f>HYPERLINK("https://psearch.kitsapgov.com/webappa/index.html?parcelID=1428556&amp;Theme=Imagery","1428556")</f>
        <v>1428556</v>
      </c>
      <c r="G45" s="16" t="s">
        <v>4735</v>
      </c>
      <c r="H45" s="17">
        <v>42279</v>
      </c>
      <c r="I45" s="18">
        <v>211000</v>
      </c>
      <c r="J45" s="19">
        <v>0.14000000000000001</v>
      </c>
      <c r="K45" s="16" t="s">
        <v>4736</v>
      </c>
      <c r="L45" s="16" t="s">
        <v>4645</v>
      </c>
      <c r="M45" s="16" t="s">
        <v>4737</v>
      </c>
      <c r="N45" s="16" t="s">
        <v>4738</v>
      </c>
    </row>
    <row r="46" spans="1:14" ht="20.100000000000001" customHeight="1" x14ac:dyDescent="0.25">
      <c r="A46" s="15" t="s">
        <v>4733</v>
      </c>
      <c r="B46" s="16" t="s">
        <v>4739</v>
      </c>
      <c r="C46" s="15">
        <v>8100501</v>
      </c>
      <c r="D46" s="16" t="s">
        <v>117</v>
      </c>
      <c r="E46" s="15" t="s">
        <v>4740</v>
      </c>
      <c r="F46" s="21" t="str">
        <f>HYPERLINK("https://psearch.kitsapgov.com/webappa/index.html?parcelID=1428564&amp;Theme=Imagery","1428564")</f>
        <v>1428564</v>
      </c>
      <c r="G46" s="16" t="s">
        <v>4741</v>
      </c>
      <c r="H46" s="17">
        <v>42279</v>
      </c>
      <c r="I46" s="18">
        <v>211000</v>
      </c>
      <c r="J46" s="19">
        <v>0.21</v>
      </c>
      <c r="K46" s="16" t="s">
        <v>4736</v>
      </c>
      <c r="L46" s="16" t="s">
        <v>4645</v>
      </c>
      <c r="M46" s="16" t="s">
        <v>4737</v>
      </c>
      <c r="N46" s="16" t="s">
        <v>4738</v>
      </c>
    </row>
    <row r="47" spans="1:14" ht="39.950000000000003" customHeight="1" x14ac:dyDescent="0.25">
      <c r="A47" s="15" t="s">
        <v>4742</v>
      </c>
      <c r="B47" s="16" t="s">
        <v>704</v>
      </c>
      <c r="C47" s="15">
        <v>8303601</v>
      </c>
      <c r="D47" s="16" t="s">
        <v>50</v>
      </c>
      <c r="E47" s="15" t="s">
        <v>1332</v>
      </c>
      <c r="F47" s="21" t="str">
        <f>HYPERLINK("https://psearch.kitsapgov.com/webappa/index.html?parcelID=2434181&amp;Theme=Imagery","2434181")</f>
        <v>2434181</v>
      </c>
      <c r="G47" s="16" t="s">
        <v>1333</v>
      </c>
      <c r="H47" s="17">
        <v>42299</v>
      </c>
      <c r="I47" s="18">
        <v>175000</v>
      </c>
      <c r="J47" s="19">
        <v>4.9800000000000004</v>
      </c>
      <c r="K47" s="16" t="s">
        <v>326</v>
      </c>
      <c r="L47" s="16" t="s">
        <v>290</v>
      </c>
      <c r="M47" s="16" t="s">
        <v>4743</v>
      </c>
      <c r="N47" s="16" t="s">
        <v>4744</v>
      </c>
    </row>
    <row r="48" spans="1:14" ht="20.100000000000001" customHeight="1" x14ac:dyDescent="0.25">
      <c r="A48" s="15" t="s">
        <v>4742</v>
      </c>
      <c r="B48" s="16" t="s">
        <v>4745</v>
      </c>
      <c r="C48" s="15">
        <v>7303604</v>
      </c>
      <c r="D48" s="16" t="s">
        <v>4746</v>
      </c>
      <c r="E48" s="15" t="s">
        <v>4747</v>
      </c>
      <c r="F48" s="21" t="str">
        <f>HYPERLINK("https://psearch.kitsapgov.com/webappa/index.html?parcelID=1887728&amp;Theme=Imagery","1887728")</f>
        <v>1887728</v>
      </c>
      <c r="G48" s="16" t="s">
        <v>107</v>
      </c>
      <c r="H48" s="17">
        <v>42299</v>
      </c>
      <c r="I48" s="18">
        <v>175000</v>
      </c>
      <c r="J48" s="19">
        <v>0</v>
      </c>
      <c r="L48" s="16" t="s">
        <v>290</v>
      </c>
      <c r="M48" s="16" t="s">
        <v>4743</v>
      </c>
      <c r="N48" s="16" t="s">
        <v>4744</v>
      </c>
    </row>
    <row r="49" spans="1:14" ht="39.950000000000003" customHeight="1" x14ac:dyDescent="0.25">
      <c r="A49" s="15" t="s">
        <v>4748</v>
      </c>
      <c r="B49" s="16" t="s">
        <v>96</v>
      </c>
      <c r="C49" s="15">
        <v>9401190</v>
      </c>
      <c r="D49" s="16" t="s">
        <v>394</v>
      </c>
      <c r="E49" s="15" t="s">
        <v>4749</v>
      </c>
      <c r="F49" s="21" t="str">
        <f>HYPERLINK("https://psearch.kitsapgov.com/webappa/index.html?parcelID=1241249&amp;Theme=Imagery","1241249")</f>
        <v>1241249</v>
      </c>
      <c r="G49" s="16" t="s">
        <v>4750</v>
      </c>
      <c r="H49" s="17">
        <v>42299</v>
      </c>
      <c r="I49" s="18">
        <v>300000</v>
      </c>
      <c r="J49" s="19">
        <v>0.89</v>
      </c>
      <c r="K49" s="16" t="s">
        <v>4751</v>
      </c>
      <c r="L49" s="16" t="s">
        <v>4645</v>
      </c>
      <c r="M49" s="16" t="s">
        <v>4752</v>
      </c>
      <c r="N49" s="16" t="s">
        <v>4753</v>
      </c>
    </row>
    <row r="50" spans="1:14" ht="20.100000000000001" customHeight="1" x14ac:dyDescent="0.25">
      <c r="A50" s="15" t="s">
        <v>4748</v>
      </c>
      <c r="B50" s="16" t="s">
        <v>57</v>
      </c>
      <c r="C50" s="15">
        <v>7401190</v>
      </c>
      <c r="D50" s="16" t="s">
        <v>4754</v>
      </c>
      <c r="E50" s="15" t="s">
        <v>4755</v>
      </c>
      <c r="F50" s="21" t="str">
        <f>HYPERLINK("https://psearch.kitsapgov.com/webappa/index.html?parcelID=2016418&amp;Theme=Imagery","2016418")</f>
        <v>2016418</v>
      </c>
      <c r="G50" s="16" t="s">
        <v>4756</v>
      </c>
      <c r="H50" s="17">
        <v>42299</v>
      </c>
      <c r="I50" s="18">
        <v>300000</v>
      </c>
      <c r="J50" s="19">
        <v>0.34</v>
      </c>
      <c r="K50" s="16" t="s">
        <v>4751</v>
      </c>
      <c r="L50" s="16" t="s">
        <v>4645</v>
      </c>
      <c r="M50" s="16" t="s">
        <v>4752</v>
      </c>
      <c r="N50" s="16" t="s">
        <v>4753</v>
      </c>
    </row>
    <row r="51" spans="1:14" ht="39.950000000000003" customHeight="1" x14ac:dyDescent="0.25">
      <c r="A51" s="15" t="s">
        <v>4757</v>
      </c>
      <c r="B51" s="16" t="s">
        <v>347</v>
      </c>
      <c r="C51" s="15">
        <v>8100510</v>
      </c>
      <c r="D51" s="16" t="s">
        <v>401</v>
      </c>
      <c r="E51" s="15" t="s">
        <v>4758</v>
      </c>
      <c r="F51" s="21" t="str">
        <f>HYPERLINK("https://psearch.kitsapgov.com/webappa/index.html?parcelID=1438043&amp;Theme=Imagery","1438043")</f>
        <v>1438043</v>
      </c>
      <c r="G51" s="16" t="s">
        <v>4759</v>
      </c>
      <c r="H51" s="17">
        <v>42306</v>
      </c>
      <c r="I51" s="18">
        <v>525000</v>
      </c>
      <c r="J51" s="19">
        <v>0.21</v>
      </c>
      <c r="K51" s="16" t="s">
        <v>28</v>
      </c>
      <c r="L51" s="16" t="s">
        <v>4645</v>
      </c>
      <c r="M51" s="16" t="s">
        <v>4760</v>
      </c>
      <c r="N51" s="16" t="s">
        <v>4761</v>
      </c>
    </row>
    <row r="52" spans="1:14" ht="20.100000000000001" customHeight="1" x14ac:dyDescent="0.25">
      <c r="A52" s="15" t="s">
        <v>4757</v>
      </c>
      <c r="B52" s="16" t="s">
        <v>347</v>
      </c>
      <c r="C52" s="15">
        <v>8100510</v>
      </c>
      <c r="D52" s="16" t="s">
        <v>401</v>
      </c>
      <c r="E52" s="15" t="s">
        <v>4762</v>
      </c>
      <c r="F52" s="21" t="str">
        <f>HYPERLINK("https://psearch.kitsapgov.com/webappa/index.html?parcelID=1438050&amp;Theme=Imagery","1438050")</f>
        <v>1438050</v>
      </c>
      <c r="G52" s="16" t="s">
        <v>4763</v>
      </c>
      <c r="H52" s="17">
        <v>42306</v>
      </c>
      <c r="I52" s="18">
        <v>525000</v>
      </c>
      <c r="J52" s="19">
        <v>0.28000000000000003</v>
      </c>
      <c r="K52" s="16" t="s">
        <v>28</v>
      </c>
      <c r="L52" s="16" t="s">
        <v>4645</v>
      </c>
      <c r="M52" s="16" t="s">
        <v>4760</v>
      </c>
      <c r="N52" s="16" t="s">
        <v>4761</v>
      </c>
    </row>
    <row r="53" spans="1:14" ht="39.950000000000003" customHeight="1" x14ac:dyDescent="0.25">
      <c r="A53" s="15" t="s">
        <v>4764</v>
      </c>
      <c r="B53" s="16" t="s">
        <v>57</v>
      </c>
      <c r="C53" s="15">
        <v>8400207</v>
      </c>
      <c r="D53" s="16" t="s">
        <v>998</v>
      </c>
      <c r="E53" s="15" t="s">
        <v>4765</v>
      </c>
      <c r="F53" s="21" t="str">
        <f>HYPERLINK("https://psearch.kitsapgov.com/webappa/index.html?parcelID=2455459&amp;Theme=Imagery","2455459")</f>
        <v>2455459</v>
      </c>
      <c r="G53" s="16" t="s">
        <v>4766</v>
      </c>
      <c r="H53" s="17">
        <v>42306</v>
      </c>
      <c r="I53" s="18">
        <v>8174700</v>
      </c>
      <c r="J53" s="19">
        <v>1.69</v>
      </c>
      <c r="K53" s="16" t="s">
        <v>100</v>
      </c>
      <c r="L53" s="16" t="s">
        <v>129</v>
      </c>
      <c r="M53" s="16" t="s">
        <v>3545</v>
      </c>
      <c r="N53" s="16" t="s">
        <v>86</v>
      </c>
    </row>
    <row r="54" spans="1:14" ht="20.100000000000001" customHeight="1" x14ac:dyDescent="0.25">
      <c r="A54" s="15" t="s">
        <v>4764</v>
      </c>
      <c r="B54" s="16" t="s">
        <v>57</v>
      </c>
      <c r="C54" s="15">
        <v>8400207</v>
      </c>
      <c r="D54" s="16" t="s">
        <v>998</v>
      </c>
      <c r="E54" s="15" t="s">
        <v>4767</v>
      </c>
      <c r="F54" s="21" t="str">
        <f>HYPERLINK("https://psearch.kitsapgov.com/webappa/index.html?parcelID=2455467&amp;Theme=Imagery","2455467")</f>
        <v>2455467</v>
      </c>
      <c r="G54" s="16" t="s">
        <v>4768</v>
      </c>
      <c r="H54" s="17">
        <v>42306</v>
      </c>
      <c r="I54" s="18">
        <v>8174700</v>
      </c>
      <c r="J54" s="19">
        <v>1.93</v>
      </c>
      <c r="K54" s="16" t="s">
        <v>100</v>
      </c>
      <c r="L54" s="16" t="s">
        <v>129</v>
      </c>
      <c r="M54" s="16" t="s">
        <v>3545</v>
      </c>
      <c r="N54" s="16" t="s">
        <v>86</v>
      </c>
    </row>
    <row r="55" spans="1:14" ht="20.100000000000001" customHeight="1" x14ac:dyDescent="0.25">
      <c r="A55" s="15" t="s">
        <v>4764</v>
      </c>
      <c r="B55" s="16" t="s">
        <v>57</v>
      </c>
      <c r="C55" s="15">
        <v>8400207</v>
      </c>
      <c r="D55" s="16" t="s">
        <v>998</v>
      </c>
      <c r="E55" s="15" t="s">
        <v>4769</v>
      </c>
      <c r="F55" s="21" t="str">
        <f>HYPERLINK("https://psearch.kitsapgov.com/webappa/index.html?parcelID=2455475&amp;Theme=Imagery","2455475")</f>
        <v>2455475</v>
      </c>
      <c r="G55" s="16" t="s">
        <v>4770</v>
      </c>
      <c r="H55" s="17">
        <v>42306</v>
      </c>
      <c r="I55" s="18">
        <v>8174700</v>
      </c>
      <c r="J55" s="19">
        <v>1.87</v>
      </c>
      <c r="K55" s="16" t="s">
        <v>100</v>
      </c>
      <c r="L55" s="16" t="s">
        <v>129</v>
      </c>
      <c r="M55" s="16" t="s">
        <v>3545</v>
      </c>
      <c r="N55" s="16" t="s">
        <v>86</v>
      </c>
    </row>
    <row r="56" spans="1:14" ht="20.100000000000001" customHeight="1" x14ac:dyDescent="0.25">
      <c r="A56" s="15" t="s">
        <v>4764</v>
      </c>
      <c r="B56" s="16" t="s">
        <v>57</v>
      </c>
      <c r="C56" s="15">
        <v>8400207</v>
      </c>
      <c r="D56" s="16" t="s">
        <v>998</v>
      </c>
      <c r="E56" s="15" t="s">
        <v>4505</v>
      </c>
      <c r="F56" s="21" t="str">
        <f>HYPERLINK("https://psearch.kitsapgov.com/webappa/index.html?parcelID=2457216&amp;Theme=Imagery","2457216")</f>
        <v>2457216</v>
      </c>
      <c r="G56" s="16" t="s">
        <v>4506</v>
      </c>
      <c r="H56" s="17">
        <v>42306</v>
      </c>
      <c r="I56" s="18">
        <v>8174700</v>
      </c>
      <c r="J56" s="19">
        <v>0.94</v>
      </c>
      <c r="K56" s="16" t="s">
        <v>3537</v>
      </c>
      <c r="L56" s="16" t="s">
        <v>129</v>
      </c>
      <c r="M56" s="16" t="s">
        <v>3545</v>
      </c>
      <c r="N56" s="16" t="s">
        <v>86</v>
      </c>
    </row>
    <row r="57" spans="1:14" ht="20.100000000000001" customHeight="1" x14ac:dyDescent="0.25">
      <c r="A57" s="15" t="s">
        <v>4764</v>
      </c>
      <c r="B57" s="16" t="s">
        <v>57</v>
      </c>
      <c r="C57" s="15">
        <v>8400207</v>
      </c>
      <c r="D57" s="16" t="s">
        <v>998</v>
      </c>
      <c r="E57" s="15" t="s">
        <v>4771</v>
      </c>
      <c r="F57" s="21" t="str">
        <f>HYPERLINK("https://psearch.kitsapgov.com/webappa/index.html?parcelID=2457232&amp;Theme=Imagery","2457232")</f>
        <v>2457232</v>
      </c>
      <c r="G57" s="16" t="s">
        <v>4772</v>
      </c>
      <c r="H57" s="17">
        <v>42306</v>
      </c>
      <c r="I57" s="18">
        <v>8174700</v>
      </c>
      <c r="J57" s="19">
        <v>0.83</v>
      </c>
      <c r="K57" s="16" t="s">
        <v>3537</v>
      </c>
      <c r="L57" s="16" t="s">
        <v>129</v>
      </c>
      <c r="M57" s="16" t="s">
        <v>3545</v>
      </c>
      <c r="N57" s="16" t="s">
        <v>86</v>
      </c>
    </row>
    <row r="58" spans="1:14" ht="20.100000000000001" customHeight="1" x14ac:dyDescent="0.25">
      <c r="A58" s="15" t="s">
        <v>4764</v>
      </c>
      <c r="B58" s="16" t="s">
        <v>57</v>
      </c>
      <c r="C58" s="15">
        <v>8400207</v>
      </c>
      <c r="D58" s="16" t="s">
        <v>998</v>
      </c>
      <c r="E58" s="15" t="s">
        <v>4773</v>
      </c>
      <c r="F58" s="21" t="str">
        <f>HYPERLINK("https://psearch.kitsapgov.com/webappa/index.html?parcelID=2457240&amp;Theme=Imagery","2457240")</f>
        <v>2457240</v>
      </c>
      <c r="G58" s="16" t="s">
        <v>4774</v>
      </c>
      <c r="H58" s="17">
        <v>42306</v>
      </c>
      <c r="I58" s="18">
        <v>8174700</v>
      </c>
      <c r="J58" s="19">
        <v>0.83</v>
      </c>
      <c r="K58" s="16" t="s">
        <v>3537</v>
      </c>
      <c r="L58" s="16" t="s">
        <v>129</v>
      </c>
      <c r="M58" s="16" t="s">
        <v>3545</v>
      </c>
      <c r="N58" s="16" t="s">
        <v>86</v>
      </c>
    </row>
    <row r="59" spans="1:14" ht="20.100000000000001" customHeight="1" x14ac:dyDescent="0.25">
      <c r="A59" s="15" t="s">
        <v>4764</v>
      </c>
      <c r="B59" s="16" t="s">
        <v>57</v>
      </c>
      <c r="C59" s="15">
        <v>8400207</v>
      </c>
      <c r="D59" s="16" t="s">
        <v>998</v>
      </c>
      <c r="E59" s="15" t="s">
        <v>4775</v>
      </c>
      <c r="F59" s="21" t="str">
        <f>HYPERLINK("https://psearch.kitsapgov.com/webappa/index.html?parcelID=2457257&amp;Theme=Imagery","2457257")</f>
        <v>2457257</v>
      </c>
      <c r="G59" s="16" t="s">
        <v>4776</v>
      </c>
      <c r="H59" s="17">
        <v>42306</v>
      </c>
      <c r="I59" s="18">
        <v>8174700</v>
      </c>
      <c r="J59" s="19">
        <v>0.84</v>
      </c>
      <c r="K59" s="16" t="s">
        <v>3537</v>
      </c>
      <c r="L59" s="16" t="s">
        <v>129</v>
      </c>
      <c r="M59" s="16" t="s">
        <v>3545</v>
      </c>
      <c r="N59" s="16" t="s">
        <v>86</v>
      </c>
    </row>
    <row r="60" spans="1:14" ht="20.100000000000001" customHeight="1" x14ac:dyDescent="0.25">
      <c r="A60" s="15" t="s">
        <v>4764</v>
      </c>
      <c r="B60" s="16" t="s">
        <v>57</v>
      </c>
      <c r="C60" s="15">
        <v>8400207</v>
      </c>
      <c r="D60" s="16" t="s">
        <v>998</v>
      </c>
      <c r="E60" s="15" t="s">
        <v>4777</v>
      </c>
      <c r="F60" s="21" t="str">
        <f>HYPERLINK("https://psearch.kitsapgov.com/webappa/index.html?parcelID=2457265&amp;Theme=Imagery","2457265")</f>
        <v>2457265</v>
      </c>
      <c r="G60" s="16" t="s">
        <v>4778</v>
      </c>
      <c r="H60" s="17">
        <v>42306</v>
      </c>
      <c r="I60" s="18">
        <v>8174700</v>
      </c>
      <c r="J60" s="19">
        <v>1.97</v>
      </c>
      <c r="K60" s="16" t="s">
        <v>3537</v>
      </c>
      <c r="L60" s="16" t="s">
        <v>129</v>
      </c>
      <c r="M60" s="16" t="s">
        <v>3545</v>
      </c>
      <c r="N60" s="16" t="s">
        <v>86</v>
      </c>
    </row>
    <row r="61" spans="1:14" ht="20.100000000000001" customHeight="1" x14ac:dyDescent="0.25">
      <c r="A61" s="15" t="s">
        <v>4764</v>
      </c>
      <c r="B61" s="16" t="s">
        <v>143</v>
      </c>
      <c r="C61" s="15">
        <v>8400207</v>
      </c>
      <c r="D61" s="16" t="s">
        <v>998</v>
      </c>
      <c r="E61" s="15" t="s">
        <v>4779</v>
      </c>
      <c r="F61" s="21" t="str">
        <f>HYPERLINK("https://psearch.kitsapgov.com/webappa/index.html?parcelID=2457315&amp;Theme=Imagery","2457315")</f>
        <v>2457315</v>
      </c>
      <c r="G61" s="16" t="s">
        <v>4780</v>
      </c>
      <c r="H61" s="17">
        <v>42306</v>
      </c>
      <c r="I61" s="18">
        <v>8174700</v>
      </c>
      <c r="J61" s="19">
        <v>1.83</v>
      </c>
      <c r="K61" s="16" t="s">
        <v>3537</v>
      </c>
      <c r="L61" s="16" t="s">
        <v>129</v>
      </c>
      <c r="M61" s="16" t="s">
        <v>3545</v>
      </c>
      <c r="N61" s="16" t="s">
        <v>86</v>
      </c>
    </row>
    <row r="62" spans="1:14" ht="20.100000000000001" customHeight="1" x14ac:dyDescent="0.25">
      <c r="A62" s="15" t="s">
        <v>4764</v>
      </c>
      <c r="B62" s="16" t="s">
        <v>4781</v>
      </c>
      <c r="C62" s="15">
        <v>8400207</v>
      </c>
      <c r="D62" s="16" t="s">
        <v>998</v>
      </c>
      <c r="E62" s="15" t="s">
        <v>4782</v>
      </c>
      <c r="F62" s="21" t="str">
        <f>HYPERLINK("https://psearch.kitsapgov.com/webappa/index.html?parcelID=2457323&amp;Theme=Imagery","2457323")</f>
        <v>2457323</v>
      </c>
      <c r="G62" s="16" t="s">
        <v>4783</v>
      </c>
      <c r="H62" s="17">
        <v>42306</v>
      </c>
      <c r="I62" s="18">
        <v>8174700</v>
      </c>
      <c r="J62" s="19">
        <v>1.06</v>
      </c>
      <c r="K62" s="16" t="s">
        <v>3537</v>
      </c>
      <c r="L62" s="16" t="s">
        <v>129</v>
      </c>
      <c r="M62" s="16" t="s">
        <v>3545</v>
      </c>
      <c r="N62" s="16" t="s">
        <v>86</v>
      </c>
    </row>
    <row r="63" spans="1:14" ht="20.100000000000001" customHeight="1" x14ac:dyDescent="0.25">
      <c r="A63" s="15" t="s">
        <v>4764</v>
      </c>
      <c r="B63" s="16" t="s">
        <v>4781</v>
      </c>
      <c r="C63" s="15">
        <v>8400207</v>
      </c>
      <c r="D63" s="16" t="s">
        <v>998</v>
      </c>
      <c r="E63" s="15" t="s">
        <v>4784</v>
      </c>
      <c r="F63" s="21" t="str">
        <f>HYPERLINK("https://psearch.kitsapgov.com/webappa/index.html?parcelID=2457331&amp;Theme=Imagery","2457331")</f>
        <v>2457331</v>
      </c>
      <c r="G63" s="16" t="s">
        <v>4785</v>
      </c>
      <c r="H63" s="17">
        <v>42306</v>
      </c>
      <c r="I63" s="18">
        <v>8174700</v>
      </c>
      <c r="J63" s="19">
        <v>1.78</v>
      </c>
      <c r="K63" s="16" t="s">
        <v>3537</v>
      </c>
      <c r="L63" s="16" t="s">
        <v>129</v>
      </c>
      <c r="M63" s="16" t="s">
        <v>3545</v>
      </c>
      <c r="N63" s="16" t="s">
        <v>86</v>
      </c>
    </row>
    <row r="64" spans="1:14" ht="20.100000000000001" customHeight="1" x14ac:dyDescent="0.25">
      <c r="A64" s="15" t="s">
        <v>4764</v>
      </c>
      <c r="B64" s="16" t="s">
        <v>4781</v>
      </c>
      <c r="C64" s="15">
        <v>7400203</v>
      </c>
      <c r="D64" s="16" t="s">
        <v>4786</v>
      </c>
      <c r="E64" s="15" t="s">
        <v>4787</v>
      </c>
      <c r="F64" s="21" t="str">
        <f>HYPERLINK("https://psearch.kitsapgov.com/webappa/index.html?parcelID=2526010&amp;Theme=Imagery","2526010")</f>
        <v>2526010</v>
      </c>
      <c r="G64" s="16" t="s">
        <v>107</v>
      </c>
      <c r="H64" s="17">
        <v>42306</v>
      </c>
      <c r="I64" s="18">
        <v>8174700</v>
      </c>
      <c r="J64" s="19">
        <v>3.37</v>
      </c>
      <c r="K64" s="16" t="s">
        <v>4788</v>
      </c>
      <c r="L64" s="16" t="s">
        <v>129</v>
      </c>
      <c r="M64" s="16" t="s">
        <v>3545</v>
      </c>
      <c r="N64" s="16" t="s">
        <v>86</v>
      </c>
    </row>
    <row r="65" spans="1:14" ht="20.100000000000001" customHeight="1" x14ac:dyDescent="0.25">
      <c r="A65" s="15" t="s">
        <v>4764</v>
      </c>
      <c r="B65" s="16" t="s">
        <v>57</v>
      </c>
      <c r="C65" s="15">
        <v>7400203</v>
      </c>
      <c r="D65" s="16" t="s">
        <v>4786</v>
      </c>
      <c r="E65" s="15" t="s">
        <v>4789</v>
      </c>
      <c r="F65" s="21" t="str">
        <f>HYPERLINK("https://psearch.kitsapgov.com/webappa/index.html?parcelID=2526028&amp;Theme=Imagery","2526028")</f>
        <v>2526028</v>
      </c>
      <c r="G65" s="16" t="s">
        <v>107</v>
      </c>
      <c r="H65" s="17">
        <v>42306</v>
      </c>
      <c r="I65" s="18">
        <v>8174700</v>
      </c>
      <c r="J65" s="19">
        <v>4.05</v>
      </c>
      <c r="K65" s="16" t="s">
        <v>4788</v>
      </c>
      <c r="L65" s="16" t="s">
        <v>129</v>
      </c>
      <c r="M65" s="16" t="s">
        <v>3545</v>
      </c>
      <c r="N65" s="16" t="s">
        <v>86</v>
      </c>
    </row>
    <row r="66" spans="1:14" ht="20.100000000000001" customHeight="1" x14ac:dyDescent="0.25">
      <c r="A66" s="15" t="s">
        <v>4764</v>
      </c>
      <c r="B66" s="16" t="s">
        <v>57</v>
      </c>
      <c r="C66" s="15">
        <v>7400203</v>
      </c>
      <c r="D66" s="16" t="s">
        <v>4786</v>
      </c>
      <c r="E66" s="15" t="s">
        <v>4790</v>
      </c>
      <c r="F66" s="21" t="str">
        <f>HYPERLINK("https://psearch.kitsapgov.com/webappa/index.html?parcelID=2526036&amp;Theme=Imagery","2526036")</f>
        <v>2526036</v>
      </c>
      <c r="G66" s="16" t="s">
        <v>107</v>
      </c>
      <c r="H66" s="17">
        <v>42306</v>
      </c>
      <c r="I66" s="18">
        <v>8174700</v>
      </c>
      <c r="J66" s="19">
        <v>0.6</v>
      </c>
      <c r="K66" s="16" t="s">
        <v>4788</v>
      </c>
      <c r="L66" s="16" t="s">
        <v>129</v>
      </c>
      <c r="M66" s="16" t="s">
        <v>3545</v>
      </c>
      <c r="N66" s="16" t="s">
        <v>86</v>
      </c>
    </row>
    <row r="67" spans="1:14" ht="20.100000000000001" customHeight="1" x14ac:dyDescent="0.25">
      <c r="A67" s="15" t="s">
        <v>4764</v>
      </c>
      <c r="B67" s="16" t="s">
        <v>57</v>
      </c>
      <c r="C67" s="15">
        <v>8400207</v>
      </c>
      <c r="D67" s="16" t="s">
        <v>998</v>
      </c>
      <c r="E67" s="15" t="s">
        <v>4791</v>
      </c>
      <c r="F67" s="21" t="str">
        <f>HYPERLINK("https://psearch.kitsapgov.com/webappa/index.html?parcelID=2455293&amp;Theme=Imagery","2455293")</f>
        <v>2455293</v>
      </c>
      <c r="G67" s="16" t="s">
        <v>4792</v>
      </c>
      <c r="H67" s="17">
        <v>42306</v>
      </c>
      <c r="I67" s="18">
        <v>8174700</v>
      </c>
      <c r="J67" s="19">
        <v>1.26</v>
      </c>
      <c r="K67" s="16" t="s">
        <v>100</v>
      </c>
      <c r="L67" s="16" t="s">
        <v>129</v>
      </c>
      <c r="M67" s="16" t="s">
        <v>3545</v>
      </c>
      <c r="N67" s="16" t="s">
        <v>86</v>
      </c>
    </row>
    <row r="68" spans="1:14" ht="20.100000000000001" customHeight="1" x14ac:dyDescent="0.25">
      <c r="A68" s="15" t="s">
        <v>4764</v>
      </c>
      <c r="B68" s="16" t="s">
        <v>57</v>
      </c>
      <c r="C68" s="15">
        <v>8400207</v>
      </c>
      <c r="D68" s="16" t="s">
        <v>998</v>
      </c>
      <c r="E68" s="15" t="s">
        <v>4793</v>
      </c>
      <c r="F68" s="21" t="str">
        <f>HYPERLINK("https://psearch.kitsapgov.com/webappa/index.html?parcelID=2455301&amp;Theme=Imagery","2455301")</f>
        <v>2455301</v>
      </c>
      <c r="G68" s="16" t="s">
        <v>4794</v>
      </c>
      <c r="H68" s="17">
        <v>42306</v>
      </c>
      <c r="I68" s="18">
        <v>8174700</v>
      </c>
      <c r="J68" s="19">
        <v>0.39</v>
      </c>
      <c r="K68" s="16" t="s">
        <v>100</v>
      </c>
      <c r="L68" s="16" t="s">
        <v>129</v>
      </c>
      <c r="M68" s="16" t="s">
        <v>3545</v>
      </c>
      <c r="N68" s="16" t="s">
        <v>86</v>
      </c>
    </row>
    <row r="69" spans="1:14" ht="20.100000000000001" customHeight="1" x14ac:dyDescent="0.25">
      <c r="A69" s="15" t="s">
        <v>4764</v>
      </c>
      <c r="B69" s="16" t="s">
        <v>57</v>
      </c>
      <c r="C69" s="15">
        <v>8400207</v>
      </c>
      <c r="D69" s="16" t="s">
        <v>998</v>
      </c>
      <c r="E69" s="15" t="s">
        <v>4795</v>
      </c>
      <c r="F69" s="21" t="str">
        <f>HYPERLINK("https://psearch.kitsapgov.com/webappa/index.html?parcelID=2455335&amp;Theme=Imagery","2455335")</f>
        <v>2455335</v>
      </c>
      <c r="G69" s="16" t="s">
        <v>4796</v>
      </c>
      <c r="H69" s="17">
        <v>42306</v>
      </c>
      <c r="I69" s="18">
        <v>8174700</v>
      </c>
      <c r="J69" s="19">
        <v>0.39</v>
      </c>
      <c r="K69" s="16" t="s">
        <v>100</v>
      </c>
      <c r="L69" s="16" t="s">
        <v>129</v>
      </c>
      <c r="M69" s="16" t="s">
        <v>3545</v>
      </c>
      <c r="N69" s="16" t="s">
        <v>86</v>
      </c>
    </row>
    <row r="70" spans="1:14" ht="20.100000000000001" customHeight="1" x14ac:dyDescent="0.25">
      <c r="A70" s="15" t="s">
        <v>4764</v>
      </c>
      <c r="B70" s="16" t="s">
        <v>57</v>
      </c>
      <c r="C70" s="15">
        <v>8400207</v>
      </c>
      <c r="D70" s="16" t="s">
        <v>998</v>
      </c>
      <c r="E70" s="15" t="s">
        <v>4797</v>
      </c>
      <c r="F70" s="21" t="str">
        <f>HYPERLINK("https://psearch.kitsapgov.com/webappa/index.html?parcelID=2455343&amp;Theme=Imagery","2455343")</f>
        <v>2455343</v>
      </c>
      <c r="G70" s="16" t="s">
        <v>4798</v>
      </c>
      <c r="H70" s="17">
        <v>42306</v>
      </c>
      <c r="I70" s="18">
        <v>8174700</v>
      </c>
      <c r="J70" s="19">
        <v>1.1299999999999999</v>
      </c>
      <c r="K70" s="16" t="s">
        <v>100</v>
      </c>
      <c r="L70" s="16" t="s">
        <v>129</v>
      </c>
      <c r="M70" s="16" t="s">
        <v>3545</v>
      </c>
      <c r="N70" s="16" t="s">
        <v>86</v>
      </c>
    </row>
    <row r="71" spans="1:14" ht="20.100000000000001" customHeight="1" x14ac:dyDescent="0.25">
      <c r="A71" s="15" t="s">
        <v>4764</v>
      </c>
      <c r="B71" s="16" t="s">
        <v>57</v>
      </c>
      <c r="C71" s="15">
        <v>8400207</v>
      </c>
      <c r="D71" s="16" t="s">
        <v>998</v>
      </c>
      <c r="E71" s="15" t="s">
        <v>4799</v>
      </c>
      <c r="F71" s="21" t="str">
        <f>HYPERLINK("https://psearch.kitsapgov.com/webappa/index.html?parcelID=2455350&amp;Theme=Imagery","2455350")</f>
        <v>2455350</v>
      </c>
      <c r="G71" s="16" t="s">
        <v>4800</v>
      </c>
      <c r="H71" s="17">
        <v>42306</v>
      </c>
      <c r="I71" s="18">
        <v>8174700</v>
      </c>
      <c r="J71" s="19">
        <v>0.83</v>
      </c>
      <c r="K71" s="16" t="s">
        <v>100</v>
      </c>
      <c r="L71" s="16" t="s">
        <v>129</v>
      </c>
      <c r="M71" s="16" t="s">
        <v>3545</v>
      </c>
      <c r="N71" s="16" t="s">
        <v>86</v>
      </c>
    </row>
    <row r="72" spans="1:14" ht="20.100000000000001" customHeight="1" x14ac:dyDescent="0.25">
      <c r="A72" s="15" t="s">
        <v>4764</v>
      </c>
      <c r="B72" s="16" t="s">
        <v>57</v>
      </c>
      <c r="C72" s="15">
        <v>8400207</v>
      </c>
      <c r="D72" s="16" t="s">
        <v>998</v>
      </c>
      <c r="E72" s="15" t="s">
        <v>4801</v>
      </c>
      <c r="F72" s="21" t="str">
        <f>HYPERLINK("https://psearch.kitsapgov.com/webappa/index.html?parcelID=2455368&amp;Theme=Imagery","2455368")</f>
        <v>2455368</v>
      </c>
      <c r="G72" s="16" t="s">
        <v>4802</v>
      </c>
      <c r="H72" s="17">
        <v>42306</v>
      </c>
      <c r="I72" s="18">
        <v>8174700</v>
      </c>
      <c r="J72" s="19">
        <v>0.83</v>
      </c>
      <c r="K72" s="16" t="s">
        <v>100</v>
      </c>
      <c r="L72" s="16" t="s">
        <v>129</v>
      </c>
      <c r="M72" s="16" t="s">
        <v>3545</v>
      </c>
      <c r="N72" s="16" t="s">
        <v>86</v>
      </c>
    </row>
    <row r="73" spans="1:14" ht="20.100000000000001" customHeight="1" x14ac:dyDescent="0.25">
      <c r="A73" s="15" t="s">
        <v>4764</v>
      </c>
      <c r="B73" s="16" t="s">
        <v>57</v>
      </c>
      <c r="C73" s="15">
        <v>8400207</v>
      </c>
      <c r="D73" s="16" t="s">
        <v>998</v>
      </c>
      <c r="E73" s="15" t="s">
        <v>4803</v>
      </c>
      <c r="F73" s="21" t="str">
        <f>HYPERLINK("https://psearch.kitsapgov.com/webappa/index.html?parcelID=2455376&amp;Theme=Imagery","2455376")</f>
        <v>2455376</v>
      </c>
      <c r="G73" s="16" t="s">
        <v>4804</v>
      </c>
      <c r="H73" s="17">
        <v>42306</v>
      </c>
      <c r="I73" s="18">
        <v>8174700</v>
      </c>
      <c r="J73" s="19">
        <v>0.95</v>
      </c>
      <c r="K73" s="16" t="s">
        <v>100</v>
      </c>
      <c r="L73" s="16" t="s">
        <v>129</v>
      </c>
      <c r="M73" s="16" t="s">
        <v>3545</v>
      </c>
      <c r="N73" s="16" t="s">
        <v>86</v>
      </c>
    </row>
    <row r="74" spans="1:14" ht="20.100000000000001" customHeight="1" x14ac:dyDescent="0.25">
      <c r="A74" s="15" t="s">
        <v>4764</v>
      </c>
      <c r="B74" s="16" t="s">
        <v>57</v>
      </c>
      <c r="C74" s="15">
        <v>8400207</v>
      </c>
      <c r="D74" s="16" t="s">
        <v>998</v>
      </c>
      <c r="E74" s="15" t="s">
        <v>4805</v>
      </c>
      <c r="F74" s="21" t="str">
        <f>HYPERLINK("https://psearch.kitsapgov.com/webappa/index.html?parcelID=2455392&amp;Theme=Imagery","2455392")</f>
        <v>2455392</v>
      </c>
      <c r="G74" s="16" t="s">
        <v>4806</v>
      </c>
      <c r="H74" s="17">
        <v>42306</v>
      </c>
      <c r="I74" s="18">
        <v>8174700</v>
      </c>
      <c r="J74" s="19">
        <v>1.37</v>
      </c>
      <c r="K74" s="16" t="s">
        <v>100</v>
      </c>
      <c r="L74" s="16" t="s">
        <v>129</v>
      </c>
      <c r="M74" s="16" t="s">
        <v>3545</v>
      </c>
      <c r="N74" s="16" t="s">
        <v>86</v>
      </c>
    </row>
    <row r="75" spans="1:14" ht="20.100000000000001" customHeight="1" x14ac:dyDescent="0.25">
      <c r="A75" s="15" t="s">
        <v>4764</v>
      </c>
      <c r="B75" s="16" t="s">
        <v>57</v>
      </c>
      <c r="C75" s="15">
        <v>8400207</v>
      </c>
      <c r="D75" s="16" t="s">
        <v>998</v>
      </c>
      <c r="E75" s="15" t="s">
        <v>4807</v>
      </c>
      <c r="F75" s="21" t="str">
        <f>HYPERLINK("https://psearch.kitsapgov.com/webappa/index.html?parcelID=2455400&amp;Theme=Imagery","2455400")</f>
        <v>2455400</v>
      </c>
      <c r="G75" s="16" t="s">
        <v>4808</v>
      </c>
      <c r="H75" s="17">
        <v>42306</v>
      </c>
      <c r="I75" s="18">
        <v>8174700</v>
      </c>
      <c r="J75" s="19">
        <v>1.05</v>
      </c>
      <c r="K75" s="16" t="s">
        <v>100</v>
      </c>
      <c r="L75" s="16" t="s">
        <v>129</v>
      </c>
      <c r="M75" s="16" t="s">
        <v>3545</v>
      </c>
      <c r="N75" s="16" t="s">
        <v>86</v>
      </c>
    </row>
    <row r="76" spans="1:14" ht="20.100000000000001" customHeight="1" x14ac:dyDescent="0.25">
      <c r="A76" s="15" t="s">
        <v>4764</v>
      </c>
      <c r="B76" s="16" t="s">
        <v>57</v>
      </c>
      <c r="C76" s="15">
        <v>8400207</v>
      </c>
      <c r="D76" s="16" t="s">
        <v>998</v>
      </c>
      <c r="E76" s="15" t="s">
        <v>4809</v>
      </c>
      <c r="F76" s="21" t="str">
        <f>HYPERLINK("https://psearch.kitsapgov.com/webappa/index.html?parcelID=2455434&amp;Theme=Imagery","2455434")</f>
        <v>2455434</v>
      </c>
      <c r="G76" s="16" t="s">
        <v>4810</v>
      </c>
      <c r="H76" s="17">
        <v>42306</v>
      </c>
      <c r="I76" s="18">
        <v>8174700</v>
      </c>
      <c r="J76" s="19">
        <v>1.19</v>
      </c>
      <c r="K76" s="16" t="s">
        <v>100</v>
      </c>
      <c r="L76" s="16" t="s">
        <v>129</v>
      </c>
      <c r="M76" s="16" t="s">
        <v>3545</v>
      </c>
      <c r="N76" s="16" t="s">
        <v>86</v>
      </c>
    </row>
    <row r="77" spans="1:14" ht="20.100000000000001" customHeight="1" x14ac:dyDescent="0.25">
      <c r="A77" s="15" t="s">
        <v>4764</v>
      </c>
      <c r="B77" s="16" t="s">
        <v>57</v>
      </c>
      <c r="C77" s="15">
        <v>8400207</v>
      </c>
      <c r="D77" s="16" t="s">
        <v>998</v>
      </c>
      <c r="E77" s="15" t="s">
        <v>4811</v>
      </c>
      <c r="F77" s="21" t="str">
        <f>HYPERLINK("https://psearch.kitsapgov.com/webappa/index.html?parcelID=2455442&amp;Theme=Imagery","2455442")</f>
        <v>2455442</v>
      </c>
      <c r="G77" s="16" t="s">
        <v>4812</v>
      </c>
      <c r="H77" s="17">
        <v>42306</v>
      </c>
      <c r="I77" s="18">
        <v>8174700</v>
      </c>
      <c r="J77" s="19">
        <v>1.2</v>
      </c>
      <c r="K77" s="16" t="s">
        <v>100</v>
      </c>
      <c r="L77" s="16" t="s">
        <v>129</v>
      </c>
      <c r="M77" s="16" t="s">
        <v>3545</v>
      </c>
      <c r="N77" s="16" t="s">
        <v>86</v>
      </c>
    </row>
    <row r="78" spans="1:14" ht="20.100000000000001" customHeight="1" x14ac:dyDescent="0.25">
      <c r="A78" s="15" t="s">
        <v>4764</v>
      </c>
      <c r="B78" s="16" t="s">
        <v>57</v>
      </c>
      <c r="C78" s="15">
        <v>8400207</v>
      </c>
      <c r="D78" s="16" t="s">
        <v>998</v>
      </c>
      <c r="E78" s="15" t="s">
        <v>4813</v>
      </c>
      <c r="F78" s="21" t="str">
        <f>HYPERLINK("https://psearch.kitsapgov.com/webappa/index.html?parcelID=2457091&amp;Theme=Imagery","2457091")</f>
        <v>2457091</v>
      </c>
      <c r="G78" s="16" t="s">
        <v>4814</v>
      </c>
      <c r="H78" s="17">
        <v>42306</v>
      </c>
      <c r="I78" s="18">
        <v>8174700</v>
      </c>
      <c r="J78" s="19">
        <v>1.34</v>
      </c>
      <c r="K78" s="16" t="s">
        <v>3537</v>
      </c>
      <c r="L78" s="16" t="s">
        <v>129</v>
      </c>
      <c r="M78" s="16" t="s">
        <v>3545</v>
      </c>
      <c r="N78" s="16" t="s">
        <v>86</v>
      </c>
    </row>
    <row r="79" spans="1:14" ht="20.100000000000001" customHeight="1" x14ac:dyDescent="0.25">
      <c r="A79" s="15" t="s">
        <v>4764</v>
      </c>
      <c r="B79" s="16" t="s">
        <v>57</v>
      </c>
      <c r="C79" s="15">
        <v>8400207</v>
      </c>
      <c r="D79" s="16" t="s">
        <v>998</v>
      </c>
      <c r="E79" s="15" t="s">
        <v>4815</v>
      </c>
      <c r="F79" s="21" t="str">
        <f>HYPERLINK("https://psearch.kitsapgov.com/webappa/index.html?parcelID=2457125&amp;Theme=Imagery","2457125")</f>
        <v>2457125</v>
      </c>
      <c r="G79" s="16" t="s">
        <v>4816</v>
      </c>
      <c r="H79" s="17">
        <v>42306</v>
      </c>
      <c r="I79" s="18">
        <v>8174700</v>
      </c>
      <c r="J79" s="19">
        <v>1.2</v>
      </c>
      <c r="K79" s="16" t="s">
        <v>3537</v>
      </c>
      <c r="L79" s="16" t="s">
        <v>129</v>
      </c>
      <c r="M79" s="16" t="s">
        <v>3545</v>
      </c>
      <c r="N79" s="16" t="s">
        <v>86</v>
      </c>
    </row>
    <row r="80" spans="1:14" ht="20.100000000000001" customHeight="1" x14ac:dyDescent="0.25">
      <c r="A80" s="15" t="s">
        <v>4764</v>
      </c>
      <c r="B80" s="16" t="s">
        <v>57</v>
      </c>
      <c r="C80" s="15">
        <v>8400207</v>
      </c>
      <c r="D80" s="16" t="s">
        <v>998</v>
      </c>
      <c r="E80" s="15" t="s">
        <v>4817</v>
      </c>
      <c r="F80" s="21" t="str">
        <f>HYPERLINK("https://psearch.kitsapgov.com/webappa/index.html?parcelID=2457133&amp;Theme=Imagery","2457133")</f>
        <v>2457133</v>
      </c>
      <c r="G80" s="16" t="s">
        <v>4818</v>
      </c>
      <c r="H80" s="17">
        <v>42306</v>
      </c>
      <c r="I80" s="18">
        <v>8174700</v>
      </c>
      <c r="J80" s="19">
        <v>1.2</v>
      </c>
      <c r="K80" s="16" t="s">
        <v>3537</v>
      </c>
      <c r="L80" s="16" t="s">
        <v>129</v>
      </c>
      <c r="M80" s="16" t="s">
        <v>3545</v>
      </c>
      <c r="N80" s="16" t="s">
        <v>86</v>
      </c>
    </row>
    <row r="81" spans="1:14" ht="20.100000000000001" customHeight="1" x14ac:dyDescent="0.25">
      <c r="A81" s="15" t="s">
        <v>4764</v>
      </c>
      <c r="B81" s="16" t="s">
        <v>57</v>
      </c>
      <c r="C81" s="15">
        <v>8400207</v>
      </c>
      <c r="D81" s="16" t="s">
        <v>998</v>
      </c>
      <c r="E81" s="15" t="s">
        <v>4819</v>
      </c>
      <c r="F81" s="21" t="str">
        <f>HYPERLINK("https://psearch.kitsapgov.com/webappa/index.html?parcelID=2457166&amp;Theme=Imagery","2457166")</f>
        <v>2457166</v>
      </c>
      <c r="G81" s="16" t="s">
        <v>4820</v>
      </c>
      <c r="H81" s="17">
        <v>42306</v>
      </c>
      <c r="I81" s="18">
        <v>8174700</v>
      </c>
      <c r="J81" s="19">
        <v>1.45</v>
      </c>
      <c r="K81" s="16" t="s">
        <v>3537</v>
      </c>
      <c r="L81" s="16" t="s">
        <v>129</v>
      </c>
      <c r="M81" s="16" t="s">
        <v>3545</v>
      </c>
      <c r="N81" s="16" t="s">
        <v>86</v>
      </c>
    </row>
    <row r="82" spans="1:14" ht="20.100000000000001" customHeight="1" x14ac:dyDescent="0.25">
      <c r="A82" s="15" t="s">
        <v>4764</v>
      </c>
      <c r="B82" s="16" t="s">
        <v>57</v>
      </c>
      <c r="C82" s="15">
        <v>8400207</v>
      </c>
      <c r="D82" s="16" t="s">
        <v>998</v>
      </c>
      <c r="E82" s="15" t="s">
        <v>4821</v>
      </c>
      <c r="F82" s="21" t="str">
        <f>HYPERLINK("https://psearch.kitsapgov.com/webappa/index.html?parcelID=2457182&amp;Theme=Imagery","2457182")</f>
        <v>2457182</v>
      </c>
      <c r="G82" s="16" t="s">
        <v>4822</v>
      </c>
      <c r="H82" s="17">
        <v>42306</v>
      </c>
      <c r="I82" s="18">
        <v>8174700</v>
      </c>
      <c r="J82" s="19">
        <v>0.62</v>
      </c>
      <c r="K82" s="16" t="s">
        <v>3537</v>
      </c>
      <c r="L82" s="16" t="s">
        <v>129</v>
      </c>
      <c r="M82" s="16" t="s">
        <v>3545</v>
      </c>
      <c r="N82" s="16" t="s">
        <v>86</v>
      </c>
    </row>
    <row r="83" spans="1:14" ht="20.100000000000001" customHeight="1" x14ac:dyDescent="0.25">
      <c r="A83" s="15" t="s">
        <v>4764</v>
      </c>
      <c r="B83" s="16" t="s">
        <v>4781</v>
      </c>
      <c r="C83" s="15">
        <v>7400203</v>
      </c>
      <c r="D83" s="16" t="s">
        <v>4786</v>
      </c>
      <c r="E83" s="15" t="s">
        <v>4823</v>
      </c>
      <c r="F83" s="21" t="str">
        <f>HYPERLINK("https://psearch.kitsapgov.com/webappa/index.html?parcelID=2525988&amp;Theme=Imagery","2525988")</f>
        <v>2525988</v>
      </c>
      <c r="G83" s="16" t="s">
        <v>107</v>
      </c>
      <c r="H83" s="17">
        <v>42306</v>
      </c>
      <c r="I83" s="18">
        <v>8174700</v>
      </c>
      <c r="J83" s="19">
        <v>2.3199999999999998</v>
      </c>
      <c r="K83" s="16" t="s">
        <v>4788</v>
      </c>
      <c r="L83" s="16" t="s">
        <v>129</v>
      </c>
      <c r="M83" s="16" t="s">
        <v>3545</v>
      </c>
      <c r="N83" s="16" t="s">
        <v>86</v>
      </c>
    </row>
    <row r="84" spans="1:14" ht="20.100000000000001" customHeight="1" x14ac:dyDescent="0.25">
      <c r="A84" s="15" t="s">
        <v>4764</v>
      </c>
      <c r="B84" s="16" t="s">
        <v>4824</v>
      </c>
      <c r="C84" s="15">
        <v>7400203</v>
      </c>
      <c r="D84" s="16" t="s">
        <v>4786</v>
      </c>
      <c r="E84" s="15" t="s">
        <v>4825</v>
      </c>
      <c r="F84" s="21" t="str">
        <f>HYPERLINK("https://psearch.kitsapgov.com/webappa/index.html?parcelID=2525996&amp;Theme=Imagery","2525996")</f>
        <v>2525996</v>
      </c>
      <c r="G84" s="16" t="s">
        <v>107</v>
      </c>
      <c r="H84" s="17">
        <v>42306</v>
      </c>
      <c r="I84" s="18">
        <v>8174700</v>
      </c>
      <c r="J84" s="19">
        <v>7.69</v>
      </c>
      <c r="K84" s="16" t="s">
        <v>4788</v>
      </c>
      <c r="L84" s="16" t="s">
        <v>129</v>
      </c>
      <c r="M84" s="16" t="s">
        <v>3545</v>
      </c>
      <c r="N84" s="16" t="s">
        <v>86</v>
      </c>
    </row>
    <row r="85" spans="1:14" ht="20.100000000000001" customHeight="1" x14ac:dyDescent="0.25">
      <c r="A85" s="15" t="s">
        <v>4764</v>
      </c>
      <c r="B85" s="16" t="s">
        <v>57</v>
      </c>
      <c r="C85" s="15">
        <v>8400207</v>
      </c>
      <c r="D85" s="16" t="s">
        <v>998</v>
      </c>
      <c r="E85" s="15" t="s">
        <v>4826</v>
      </c>
      <c r="F85" s="21" t="str">
        <f>HYPERLINK("https://psearch.kitsapgov.com/webappa/index.html?parcelID=2528016&amp;Theme=Imagery","2528016")</f>
        <v>2528016</v>
      </c>
      <c r="G85" s="16" t="s">
        <v>4827</v>
      </c>
      <c r="H85" s="17">
        <v>42306</v>
      </c>
      <c r="I85" s="18">
        <v>8174700</v>
      </c>
      <c r="J85" s="19">
        <v>0.83</v>
      </c>
      <c r="K85" s="16" t="s">
        <v>100</v>
      </c>
      <c r="L85" s="16" t="s">
        <v>129</v>
      </c>
      <c r="M85" s="16" t="s">
        <v>3545</v>
      </c>
      <c r="N85" s="16" t="s">
        <v>86</v>
      </c>
    </row>
    <row r="86" spans="1:14" ht="20.100000000000001" customHeight="1" x14ac:dyDescent="0.25">
      <c r="A86" s="15" t="s">
        <v>4764</v>
      </c>
      <c r="B86" s="16" t="s">
        <v>4781</v>
      </c>
      <c r="C86" s="15">
        <v>8400207</v>
      </c>
      <c r="D86" s="16" t="s">
        <v>998</v>
      </c>
      <c r="E86" s="15" t="s">
        <v>4828</v>
      </c>
      <c r="F86" s="21" t="str">
        <f>HYPERLINK("https://psearch.kitsapgov.com/webappa/index.html?parcelID=2455160&amp;Theme=Imagery","2455160")</f>
        <v>2455160</v>
      </c>
      <c r="G86" s="16" t="s">
        <v>4829</v>
      </c>
      <c r="H86" s="17">
        <v>42306</v>
      </c>
      <c r="I86" s="18">
        <v>8174700</v>
      </c>
      <c r="J86" s="19">
        <v>2.0699999999999998</v>
      </c>
      <c r="K86" s="16" t="s">
        <v>100</v>
      </c>
      <c r="L86" s="16" t="s">
        <v>129</v>
      </c>
      <c r="M86" s="16" t="s">
        <v>3545</v>
      </c>
      <c r="N86" s="16" t="s">
        <v>86</v>
      </c>
    </row>
    <row r="87" spans="1:14" ht="20.100000000000001" customHeight="1" x14ac:dyDescent="0.25">
      <c r="A87" s="15" t="s">
        <v>4764</v>
      </c>
      <c r="B87" s="16" t="s">
        <v>57</v>
      </c>
      <c r="C87" s="15">
        <v>8400207</v>
      </c>
      <c r="D87" s="16" t="s">
        <v>998</v>
      </c>
      <c r="E87" s="15" t="s">
        <v>4830</v>
      </c>
      <c r="F87" s="21" t="str">
        <f>HYPERLINK("https://psearch.kitsapgov.com/webappa/index.html?parcelID=2592665&amp;Theme=Imagery","2592665")</f>
        <v>2592665</v>
      </c>
      <c r="G87" s="16" t="s">
        <v>4831</v>
      </c>
      <c r="H87" s="17">
        <v>42306</v>
      </c>
      <c r="I87" s="18">
        <v>8174700</v>
      </c>
      <c r="J87" s="19">
        <v>1.51</v>
      </c>
      <c r="K87" s="16" t="s">
        <v>100</v>
      </c>
      <c r="L87" s="16" t="s">
        <v>129</v>
      </c>
      <c r="M87" s="16" t="s">
        <v>3545</v>
      </c>
      <c r="N87" s="16" t="s">
        <v>86</v>
      </c>
    </row>
    <row r="88" spans="1:14" ht="20.100000000000001" customHeight="1" x14ac:dyDescent="0.25">
      <c r="A88" s="15" t="s">
        <v>4764</v>
      </c>
      <c r="B88" s="16" t="s">
        <v>57</v>
      </c>
      <c r="C88" s="15">
        <v>8400207</v>
      </c>
      <c r="D88" s="16" t="s">
        <v>998</v>
      </c>
      <c r="E88" s="15" t="s">
        <v>3902</v>
      </c>
      <c r="F88" s="21" t="str">
        <f>HYPERLINK("https://psearch.kitsapgov.com/webappa/index.html?parcelID=2455228&amp;Theme=Imagery","2455228")</f>
        <v>2455228</v>
      </c>
      <c r="G88" s="16" t="s">
        <v>3903</v>
      </c>
      <c r="H88" s="17">
        <v>42306</v>
      </c>
      <c r="I88" s="18">
        <v>8174700</v>
      </c>
      <c r="J88" s="19">
        <v>1.04</v>
      </c>
      <c r="K88" s="16" t="s">
        <v>100</v>
      </c>
      <c r="L88" s="16" t="s">
        <v>129</v>
      </c>
      <c r="M88" s="16" t="s">
        <v>3545</v>
      </c>
      <c r="N88" s="16" t="s">
        <v>86</v>
      </c>
    </row>
    <row r="89" spans="1:14" ht="20.100000000000001" customHeight="1" x14ac:dyDescent="0.25">
      <c r="A89" s="15" t="s">
        <v>4764</v>
      </c>
      <c r="B89" s="16" t="s">
        <v>57</v>
      </c>
      <c r="C89" s="15">
        <v>8400207</v>
      </c>
      <c r="D89" s="16" t="s">
        <v>998</v>
      </c>
      <c r="E89" s="15" t="s">
        <v>4832</v>
      </c>
      <c r="F89" s="21" t="str">
        <f>HYPERLINK("https://psearch.kitsapgov.com/webappa/index.html?parcelID=2455244&amp;Theme=Imagery","2455244")</f>
        <v>2455244</v>
      </c>
      <c r="G89" s="16" t="s">
        <v>4833</v>
      </c>
      <c r="H89" s="17">
        <v>42306</v>
      </c>
      <c r="I89" s="18">
        <v>8174700</v>
      </c>
      <c r="J89" s="19">
        <v>1.55</v>
      </c>
      <c r="K89" s="16" t="s">
        <v>100</v>
      </c>
      <c r="L89" s="16" t="s">
        <v>129</v>
      </c>
      <c r="M89" s="16" t="s">
        <v>3545</v>
      </c>
      <c r="N89" s="16" t="s">
        <v>86</v>
      </c>
    </row>
    <row r="90" spans="1:14" ht="20.100000000000001" customHeight="1" x14ac:dyDescent="0.25">
      <c r="A90" s="15" t="s">
        <v>4764</v>
      </c>
      <c r="B90" s="16" t="s">
        <v>4781</v>
      </c>
      <c r="C90" s="15">
        <v>8400207</v>
      </c>
      <c r="D90" s="16" t="s">
        <v>998</v>
      </c>
      <c r="E90" s="15" t="s">
        <v>4834</v>
      </c>
      <c r="F90" s="21" t="str">
        <f>HYPERLINK("https://psearch.kitsapgov.com/webappa/index.html?parcelID=2455251&amp;Theme=Imagery","2455251")</f>
        <v>2455251</v>
      </c>
      <c r="G90" s="16" t="s">
        <v>4835</v>
      </c>
      <c r="H90" s="17">
        <v>42306</v>
      </c>
      <c r="I90" s="18">
        <v>8174700</v>
      </c>
      <c r="J90" s="19">
        <v>2.89</v>
      </c>
      <c r="K90" s="16" t="s">
        <v>100</v>
      </c>
      <c r="L90" s="16" t="s">
        <v>129</v>
      </c>
      <c r="M90" s="16" t="s">
        <v>3545</v>
      </c>
      <c r="N90" s="16" t="s">
        <v>86</v>
      </c>
    </row>
    <row r="91" spans="1:14" ht="39.950000000000003" customHeight="1" x14ac:dyDescent="0.25">
      <c r="A91" s="15" t="s">
        <v>4836</v>
      </c>
      <c r="B91" s="16" t="s">
        <v>306</v>
      </c>
      <c r="C91" s="15">
        <v>8401508</v>
      </c>
      <c r="D91" s="16" t="s">
        <v>90</v>
      </c>
      <c r="E91" s="15" t="s">
        <v>4637</v>
      </c>
      <c r="F91" s="21" t="str">
        <f>HYPERLINK("https://psearch.kitsapgov.com/webappa/index.html?parcelID=2208692&amp;Theme=Imagery","2208692")</f>
        <v>2208692</v>
      </c>
      <c r="G91" s="16" t="s">
        <v>4638</v>
      </c>
      <c r="H91" s="17">
        <v>42326</v>
      </c>
      <c r="I91" s="18">
        <v>675000</v>
      </c>
      <c r="J91" s="19">
        <v>0.92</v>
      </c>
      <c r="K91" s="16" t="s">
        <v>78</v>
      </c>
      <c r="L91" s="16" t="s">
        <v>4645</v>
      </c>
      <c r="M91" s="16" t="s">
        <v>738</v>
      </c>
      <c r="N91" s="16" t="s">
        <v>4837</v>
      </c>
    </row>
    <row r="92" spans="1:14" ht="20.100000000000001" customHeight="1" x14ac:dyDescent="0.25">
      <c r="A92" s="15" t="s">
        <v>4836</v>
      </c>
      <c r="B92" s="16" t="s">
        <v>306</v>
      </c>
      <c r="C92" s="15">
        <v>8401508</v>
      </c>
      <c r="D92" s="16" t="s">
        <v>90</v>
      </c>
      <c r="E92" s="15" t="s">
        <v>4640</v>
      </c>
      <c r="F92" s="21" t="str">
        <f>HYPERLINK("https://psearch.kitsapgov.com/webappa/index.html?parcelID=2208700&amp;Theme=Imagery","2208700")</f>
        <v>2208700</v>
      </c>
      <c r="G92" s="16" t="s">
        <v>4641</v>
      </c>
      <c r="H92" s="17">
        <v>42326</v>
      </c>
      <c r="I92" s="18">
        <v>675000</v>
      </c>
      <c r="J92" s="19">
        <v>0.92</v>
      </c>
      <c r="K92" s="16" t="s">
        <v>78</v>
      </c>
      <c r="L92" s="16" t="s">
        <v>4645</v>
      </c>
      <c r="M92" s="16" t="s">
        <v>738</v>
      </c>
      <c r="N92" s="16" t="s">
        <v>4837</v>
      </c>
    </row>
    <row r="93" spans="1:14" ht="39.950000000000003" customHeight="1" x14ac:dyDescent="0.25">
      <c r="A93" s="15" t="s">
        <v>4838</v>
      </c>
      <c r="B93" s="16" t="s">
        <v>676</v>
      </c>
      <c r="C93" s="15">
        <v>9303601</v>
      </c>
      <c r="D93" s="16" t="s">
        <v>527</v>
      </c>
      <c r="E93" s="15" t="s">
        <v>677</v>
      </c>
      <c r="F93" s="21" t="str">
        <f>HYPERLINK("https://psearch.kitsapgov.com/webappa/index.html?parcelID=2591972&amp;Theme=Imagery","2591972")</f>
        <v>2591972</v>
      </c>
      <c r="G93" s="16" t="s">
        <v>678</v>
      </c>
      <c r="H93" s="17">
        <v>42332</v>
      </c>
      <c r="I93" s="18">
        <v>160000</v>
      </c>
      <c r="J93" s="19">
        <v>4.38</v>
      </c>
      <c r="K93" s="16" t="s">
        <v>679</v>
      </c>
      <c r="L93" s="16" t="s">
        <v>246</v>
      </c>
      <c r="M93" s="16" t="s">
        <v>4839</v>
      </c>
      <c r="N93" s="16" t="s">
        <v>682</v>
      </c>
    </row>
    <row r="94" spans="1:14" ht="39.950000000000003" customHeight="1" x14ac:dyDescent="0.25">
      <c r="A94" s="15" t="s">
        <v>4840</v>
      </c>
      <c r="B94" s="16" t="s">
        <v>1109</v>
      </c>
      <c r="C94" s="15">
        <v>8401104</v>
      </c>
      <c r="D94" s="16" t="s">
        <v>144</v>
      </c>
      <c r="E94" s="15" t="s">
        <v>4841</v>
      </c>
      <c r="F94" s="21" t="str">
        <f>HYPERLINK("https://psearch.kitsapgov.com/webappa/index.html?parcelID=2282473&amp;Theme=Imagery","2282473")</f>
        <v>2282473</v>
      </c>
      <c r="G94" s="16" t="s">
        <v>4842</v>
      </c>
      <c r="H94" s="17">
        <v>42340</v>
      </c>
      <c r="I94" s="18">
        <v>185000</v>
      </c>
      <c r="J94" s="19">
        <v>1.2</v>
      </c>
      <c r="K94" s="16" t="s">
        <v>194</v>
      </c>
      <c r="L94" s="16" t="s">
        <v>4656</v>
      </c>
      <c r="M94" s="16" t="s">
        <v>523</v>
      </c>
      <c r="N94" s="16" t="s">
        <v>4843</v>
      </c>
    </row>
    <row r="95" spans="1:14" ht="39.950000000000003" customHeight="1" x14ac:dyDescent="0.25">
      <c r="A95" s="15" t="s">
        <v>4844</v>
      </c>
      <c r="B95" s="16" t="s">
        <v>393</v>
      </c>
      <c r="C95" s="15">
        <v>8401103</v>
      </c>
      <c r="D95" s="16" t="s">
        <v>826</v>
      </c>
      <c r="E95" s="15" t="s">
        <v>4845</v>
      </c>
      <c r="F95" s="21" t="str">
        <f>HYPERLINK("https://psearch.kitsapgov.com/webappa/index.html?parcelID=2125912&amp;Theme=Imagery","2125912")</f>
        <v>2125912</v>
      </c>
      <c r="G95" s="16" t="s">
        <v>4846</v>
      </c>
      <c r="H95" s="17">
        <v>42349</v>
      </c>
      <c r="I95" s="18">
        <v>40250000</v>
      </c>
      <c r="J95" s="19">
        <v>6.22</v>
      </c>
      <c r="K95" s="16" t="s">
        <v>708</v>
      </c>
      <c r="L95" s="16" t="s">
        <v>4645</v>
      </c>
      <c r="M95" s="16" t="s">
        <v>4847</v>
      </c>
      <c r="N95" s="16" t="s">
        <v>4848</v>
      </c>
    </row>
    <row r="96" spans="1:14" ht="20.100000000000001" customHeight="1" x14ac:dyDescent="0.25">
      <c r="A96" s="15" t="s">
        <v>4844</v>
      </c>
      <c r="B96" s="16" t="s">
        <v>393</v>
      </c>
      <c r="C96" s="15">
        <v>8401103</v>
      </c>
      <c r="D96" s="16" t="s">
        <v>826</v>
      </c>
      <c r="E96" s="15" t="s">
        <v>4849</v>
      </c>
      <c r="F96" s="21" t="str">
        <f>HYPERLINK("https://psearch.kitsapgov.com/webappa/index.html?parcelID=2135655&amp;Theme=Imagery","2135655")</f>
        <v>2135655</v>
      </c>
      <c r="G96" s="16" t="s">
        <v>4850</v>
      </c>
      <c r="H96" s="17">
        <v>42349</v>
      </c>
      <c r="I96" s="18">
        <v>40250000</v>
      </c>
      <c r="J96" s="19">
        <v>10.31</v>
      </c>
      <c r="K96" s="16" t="s">
        <v>708</v>
      </c>
      <c r="L96" s="16" t="s">
        <v>4645</v>
      </c>
      <c r="M96" s="16" t="s">
        <v>4847</v>
      </c>
      <c r="N96" s="16" t="s">
        <v>4848</v>
      </c>
    </row>
    <row r="97" spans="1:14" ht="39.950000000000003" customHeight="1" x14ac:dyDescent="0.25">
      <c r="A97" s="15" t="s">
        <v>4851</v>
      </c>
      <c r="B97" s="16" t="s">
        <v>330</v>
      </c>
      <c r="C97" s="15">
        <v>8100502</v>
      </c>
      <c r="D97" s="16" t="s">
        <v>67</v>
      </c>
      <c r="E97" s="15" t="s">
        <v>4852</v>
      </c>
      <c r="F97" s="21" t="str">
        <f>HYPERLINK("https://psearch.kitsapgov.com/webappa/index.html?parcelID=1146711&amp;Theme=Imagery","1146711")</f>
        <v>1146711</v>
      </c>
      <c r="G97" s="16" t="s">
        <v>4853</v>
      </c>
      <c r="H97" s="17">
        <v>42362</v>
      </c>
      <c r="I97" s="18">
        <v>250000</v>
      </c>
      <c r="J97" s="19">
        <v>0.17</v>
      </c>
      <c r="K97" s="16" t="s">
        <v>85</v>
      </c>
      <c r="L97" s="16" t="s">
        <v>4645</v>
      </c>
      <c r="M97" s="16" t="s">
        <v>4854</v>
      </c>
      <c r="N97" s="16" t="s">
        <v>4855</v>
      </c>
    </row>
    <row r="98" spans="1:14" ht="20.100000000000001" customHeight="1" x14ac:dyDescent="0.25">
      <c r="A98" s="15" t="s">
        <v>4851</v>
      </c>
      <c r="B98" s="16" t="s">
        <v>368</v>
      </c>
      <c r="C98" s="15">
        <v>8100502</v>
      </c>
      <c r="D98" s="16" t="s">
        <v>67</v>
      </c>
      <c r="E98" s="15" t="s">
        <v>4856</v>
      </c>
      <c r="F98" s="21" t="str">
        <f>HYPERLINK("https://psearch.kitsapgov.com/webappa/index.html?parcelID=1146752&amp;Theme=Imagery","1146752")</f>
        <v>1146752</v>
      </c>
      <c r="G98" s="16" t="s">
        <v>4857</v>
      </c>
      <c r="H98" s="17">
        <v>42362</v>
      </c>
      <c r="I98" s="18">
        <v>250000</v>
      </c>
      <c r="J98" s="19">
        <v>0.52</v>
      </c>
      <c r="K98" s="16" t="s">
        <v>85</v>
      </c>
      <c r="L98" s="16" t="s">
        <v>4645</v>
      </c>
      <c r="M98" s="16" t="s">
        <v>4854</v>
      </c>
      <c r="N98" s="16" t="s">
        <v>4855</v>
      </c>
    </row>
    <row r="99" spans="1:14" ht="39.950000000000003" customHeight="1" x14ac:dyDescent="0.25">
      <c r="A99" s="15" t="s">
        <v>4858</v>
      </c>
      <c r="B99" s="16" t="s">
        <v>57</v>
      </c>
      <c r="C99" s="15">
        <v>96</v>
      </c>
      <c r="D99" s="16" t="s">
        <v>4859</v>
      </c>
      <c r="E99" s="15" t="s">
        <v>4860</v>
      </c>
      <c r="F99" s="21" t="str">
        <f>HYPERLINK("https://psearch.kitsapgov.com/webappa/index.html?parcelID=2432391&amp;Theme=Imagery","2432391")</f>
        <v>2432391</v>
      </c>
      <c r="G99" s="16" t="s">
        <v>107</v>
      </c>
      <c r="H99" s="17">
        <v>42368</v>
      </c>
      <c r="I99" s="18">
        <v>18000000</v>
      </c>
      <c r="J99" s="19">
        <v>0.53</v>
      </c>
      <c r="K99" s="16" t="s">
        <v>128</v>
      </c>
      <c r="L99" s="16" t="s">
        <v>4645</v>
      </c>
      <c r="M99" s="16" t="s">
        <v>4861</v>
      </c>
      <c r="N99" s="16" t="s">
        <v>4862</v>
      </c>
    </row>
    <row r="100" spans="1:14" ht="20.100000000000001" customHeight="1" x14ac:dyDescent="0.25">
      <c r="A100" s="15" t="s">
        <v>4858</v>
      </c>
      <c r="B100" s="16" t="s">
        <v>4863</v>
      </c>
      <c r="C100" s="15">
        <v>7402394</v>
      </c>
      <c r="D100" s="16" t="s">
        <v>4864</v>
      </c>
      <c r="E100" s="15" t="s">
        <v>4865</v>
      </c>
      <c r="F100" s="21" t="str">
        <f>HYPERLINK("https://psearch.kitsapgov.com/webappa/index.html?parcelID=2268712&amp;Theme=Imagery","2268712")</f>
        <v>2268712</v>
      </c>
      <c r="G100" s="16" t="s">
        <v>4866</v>
      </c>
      <c r="H100" s="17">
        <v>42368</v>
      </c>
      <c r="I100" s="18">
        <v>18000000</v>
      </c>
      <c r="J100" s="19">
        <v>20.100000000000001</v>
      </c>
      <c r="K100" s="16" t="s">
        <v>4867</v>
      </c>
      <c r="L100" s="16" t="s">
        <v>4645</v>
      </c>
      <c r="M100" s="16" t="s">
        <v>4861</v>
      </c>
      <c r="N100" s="16" t="s">
        <v>4862</v>
      </c>
    </row>
    <row r="101" spans="1:14" ht="20.100000000000001" customHeight="1" x14ac:dyDescent="0.25">
      <c r="A101" s="15" t="s">
        <v>4858</v>
      </c>
      <c r="B101" s="16" t="s">
        <v>57</v>
      </c>
      <c r="C101" s="15">
        <v>7402394</v>
      </c>
      <c r="D101" s="16" t="s">
        <v>4864</v>
      </c>
      <c r="E101" s="15" t="s">
        <v>4868</v>
      </c>
      <c r="F101" s="21" t="str">
        <f>HYPERLINK("https://psearch.kitsapgov.com/webappa/index.html?parcelID=2268753&amp;Theme=Imagery","2268753")</f>
        <v>2268753</v>
      </c>
      <c r="G101" s="16" t="s">
        <v>107</v>
      </c>
      <c r="H101" s="17">
        <v>42368</v>
      </c>
      <c r="I101" s="18">
        <v>18000000</v>
      </c>
      <c r="J101" s="19">
        <v>19.96</v>
      </c>
      <c r="K101" s="16" t="s">
        <v>4867</v>
      </c>
      <c r="L101" s="16" t="s">
        <v>4645</v>
      </c>
      <c r="M101" s="16" t="s">
        <v>4861</v>
      </c>
      <c r="N101" s="16" t="s">
        <v>4862</v>
      </c>
    </row>
    <row r="102" spans="1:14" ht="20.100000000000001" customHeight="1" x14ac:dyDescent="0.25">
      <c r="A102" s="15" t="s">
        <v>4858</v>
      </c>
      <c r="B102" s="16" t="s">
        <v>57</v>
      </c>
      <c r="C102" s="15">
        <v>7402394</v>
      </c>
      <c r="D102" s="16" t="s">
        <v>4864</v>
      </c>
      <c r="E102" s="15" t="s">
        <v>4869</v>
      </c>
      <c r="F102" s="21" t="str">
        <f>HYPERLINK("https://psearch.kitsapgov.com/webappa/index.html?parcelID=2268761&amp;Theme=Imagery","2268761")</f>
        <v>2268761</v>
      </c>
      <c r="G102" s="16" t="s">
        <v>107</v>
      </c>
      <c r="H102" s="17">
        <v>42368</v>
      </c>
      <c r="I102" s="18">
        <v>18000000</v>
      </c>
      <c r="J102" s="19">
        <v>19.079999999999998</v>
      </c>
      <c r="K102" s="16" t="s">
        <v>4867</v>
      </c>
      <c r="L102" s="16" t="s">
        <v>4645</v>
      </c>
      <c r="M102" s="16" t="s">
        <v>4861</v>
      </c>
      <c r="N102" s="16" t="s">
        <v>4862</v>
      </c>
    </row>
    <row r="103" spans="1:14" ht="20.100000000000001" customHeight="1" x14ac:dyDescent="0.25">
      <c r="A103" s="15" t="s">
        <v>4858</v>
      </c>
      <c r="B103" s="16" t="s">
        <v>57</v>
      </c>
      <c r="C103" s="15">
        <v>7402391</v>
      </c>
      <c r="D103" s="16" t="s">
        <v>4870</v>
      </c>
      <c r="E103" s="15" t="s">
        <v>4871</v>
      </c>
      <c r="F103" s="21" t="str">
        <f>HYPERLINK("https://psearch.kitsapgov.com/webappa/index.html?parcelID=2360055&amp;Theme=Imagery","2360055")</f>
        <v>2360055</v>
      </c>
      <c r="G103" s="16" t="s">
        <v>107</v>
      </c>
      <c r="H103" s="17">
        <v>42368</v>
      </c>
      <c r="I103" s="18">
        <v>18000000</v>
      </c>
      <c r="J103" s="19">
        <v>20.03</v>
      </c>
      <c r="K103" s="16" t="s">
        <v>4867</v>
      </c>
      <c r="L103" s="16" t="s">
        <v>4645</v>
      </c>
      <c r="M103" s="16" t="s">
        <v>4861</v>
      </c>
      <c r="N103" s="16" t="s">
        <v>4862</v>
      </c>
    </row>
    <row r="104" spans="1:14" ht="20.100000000000001" customHeight="1" x14ac:dyDescent="0.25">
      <c r="A104" s="15" t="s">
        <v>4858</v>
      </c>
      <c r="B104" s="16" t="s">
        <v>57</v>
      </c>
      <c r="C104" s="15">
        <v>7402391</v>
      </c>
      <c r="D104" s="16" t="s">
        <v>4870</v>
      </c>
      <c r="E104" s="15" t="s">
        <v>4872</v>
      </c>
      <c r="F104" s="21" t="str">
        <f>HYPERLINK("https://psearch.kitsapgov.com/webappa/index.html?parcelID=2371474&amp;Theme=Imagery","2371474")</f>
        <v>2371474</v>
      </c>
      <c r="G104" s="16" t="s">
        <v>107</v>
      </c>
      <c r="H104" s="17">
        <v>42368</v>
      </c>
      <c r="I104" s="18">
        <v>18000000</v>
      </c>
      <c r="J104" s="19">
        <v>23.15</v>
      </c>
      <c r="K104" s="16" t="s">
        <v>4867</v>
      </c>
      <c r="L104" s="16" t="s">
        <v>4645</v>
      </c>
      <c r="M104" s="16" t="s">
        <v>4861</v>
      </c>
      <c r="N104" s="16" t="s">
        <v>4862</v>
      </c>
    </row>
    <row r="105" spans="1:14" ht="20.100000000000001" customHeight="1" x14ac:dyDescent="0.25">
      <c r="A105" s="15" t="s">
        <v>4858</v>
      </c>
      <c r="B105" s="16" t="s">
        <v>57</v>
      </c>
      <c r="C105" s="15">
        <v>7402391</v>
      </c>
      <c r="D105" s="16" t="s">
        <v>4870</v>
      </c>
      <c r="E105" s="15" t="s">
        <v>4873</v>
      </c>
      <c r="F105" s="21" t="str">
        <f>HYPERLINK("https://psearch.kitsapgov.com/webappa/index.html?parcelID=2371482&amp;Theme=Imagery","2371482")</f>
        <v>2371482</v>
      </c>
      <c r="G105" s="16" t="s">
        <v>107</v>
      </c>
      <c r="H105" s="17">
        <v>42368</v>
      </c>
      <c r="I105" s="18">
        <v>18000000</v>
      </c>
      <c r="J105" s="19">
        <v>357.08</v>
      </c>
      <c r="K105" s="16" t="s">
        <v>4867</v>
      </c>
      <c r="L105" s="16" t="s">
        <v>4645</v>
      </c>
      <c r="M105" s="16" t="s">
        <v>4861</v>
      </c>
      <c r="N105" s="16" t="s">
        <v>4862</v>
      </c>
    </row>
    <row r="106" spans="1:14" ht="20.100000000000001" customHeight="1" x14ac:dyDescent="0.25">
      <c r="A106" s="15" t="s">
        <v>4858</v>
      </c>
      <c r="B106" s="16" t="s">
        <v>57</v>
      </c>
      <c r="C106" s="15">
        <v>7402391</v>
      </c>
      <c r="D106" s="16" t="s">
        <v>4870</v>
      </c>
      <c r="E106" s="15" t="s">
        <v>4874</v>
      </c>
      <c r="F106" s="21" t="str">
        <f>HYPERLINK("https://psearch.kitsapgov.com/webappa/index.html?parcelID=2360238&amp;Theme=Imagery","2360238")</f>
        <v>2360238</v>
      </c>
      <c r="G106" s="16" t="s">
        <v>107</v>
      </c>
      <c r="H106" s="17">
        <v>42368</v>
      </c>
      <c r="I106" s="18">
        <v>18000000</v>
      </c>
      <c r="J106" s="19">
        <v>20.04</v>
      </c>
      <c r="K106" s="16" t="s">
        <v>4867</v>
      </c>
      <c r="L106" s="16" t="s">
        <v>4645</v>
      </c>
      <c r="M106" s="16" t="s">
        <v>4861</v>
      </c>
      <c r="N106" s="16" t="s">
        <v>4862</v>
      </c>
    </row>
    <row r="107" spans="1:14" ht="20.100000000000001" customHeight="1" x14ac:dyDescent="0.25">
      <c r="A107" s="15" t="s">
        <v>4858</v>
      </c>
      <c r="B107" s="16" t="s">
        <v>57</v>
      </c>
      <c r="C107" s="15">
        <v>7402391</v>
      </c>
      <c r="D107" s="16" t="s">
        <v>4870</v>
      </c>
      <c r="E107" s="15" t="s">
        <v>4875</v>
      </c>
      <c r="F107" s="21" t="str">
        <f>HYPERLINK("https://psearch.kitsapgov.com/webappa/index.html?parcelID=2360246&amp;Theme=Imagery","2360246")</f>
        <v>2360246</v>
      </c>
      <c r="G107" s="16" t="s">
        <v>107</v>
      </c>
      <c r="H107" s="17">
        <v>42368</v>
      </c>
      <c r="I107" s="18">
        <v>18000000</v>
      </c>
      <c r="J107" s="19">
        <v>20.010000000000002</v>
      </c>
      <c r="K107" s="16" t="s">
        <v>4867</v>
      </c>
      <c r="L107" s="16" t="s">
        <v>4645</v>
      </c>
      <c r="M107" s="16" t="s">
        <v>4861</v>
      </c>
      <c r="N107" s="16" t="s">
        <v>4862</v>
      </c>
    </row>
    <row r="108" spans="1:14" ht="20.100000000000001" customHeight="1" x14ac:dyDescent="0.25">
      <c r="A108" s="15" t="s">
        <v>4858</v>
      </c>
      <c r="B108" s="16" t="s">
        <v>57</v>
      </c>
      <c r="C108" s="15">
        <v>7402391</v>
      </c>
      <c r="D108" s="16" t="s">
        <v>4870</v>
      </c>
      <c r="E108" s="15" t="s">
        <v>4876</v>
      </c>
      <c r="F108" s="21" t="str">
        <f>HYPERLINK("https://psearch.kitsapgov.com/webappa/index.html?parcelID=2482925&amp;Theme=Imagery","2482925")</f>
        <v>2482925</v>
      </c>
      <c r="G108" s="16" t="s">
        <v>107</v>
      </c>
      <c r="H108" s="17">
        <v>42368</v>
      </c>
      <c r="I108" s="18">
        <v>18000000</v>
      </c>
      <c r="J108" s="19">
        <v>23.21</v>
      </c>
      <c r="K108" s="16" t="s">
        <v>4877</v>
      </c>
      <c r="L108" s="16" t="s">
        <v>4645</v>
      </c>
      <c r="M108" s="16" t="s">
        <v>4861</v>
      </c>
      <c r="N108" s="16" t="s">
        <v>4862</v>
      </c>
    </row>
    <row r="109" spans="1:14" ht="20.100000000000001" customHeight="1" x14ac:dyDescent="0.25">
      <c r="A109" s="15" t="s">
        <v>4858</v>
      </c>
      <c r="B109" s="16" t="s">
        <v>57</v>
      </c>
      <c r="C109" s="15">
        <v>7402391</v>
      </c>
      <c r="D109" s="16" t="s">
        <v>4870</v>
      </c>
      <c r="E109" s="15" t="s">
        <v>4878</v>
      </c>
      <c r="F109" s="21" t="str">
        <f>HYPERLINK("https://psearch.kitsapgov.com/webappa/index.html?parcelID=2504207&amp;Theme=Imagery","2504207")</f>
        <v>2504207</v>
      </c>
      <c r="G109" s="16" t="s">
        <v>107</v>
      </c>
      <c r="H109" s="17">
        <v>42368</v>
      </c>
      <c r="I109" s="18">
        <v>18000000</v>
      </c>
      <c r="J109" s="19">
        <v>73.37</v>
      </c>
      <c r="K109" s="16" t="s">
        <v>4877</v>
      </c>
      <c r="L109" s="16" t="s">
        <v>4645</v>
      </c>
      <c r="M109" s="16" t="s">
        <v>4861</v>
      </c>
      <c r="N109" s="16" t="s">
        <v>4862</v>
      </c>
    </row>
    <row r="110" spans="1:14" ht="20.100000000000001" customHeight="1" x14ac:dyDescent="0.25">
      <c r="A110" s="15" t="s">
        <v>4858</v>
      </c>
      <c r="B110" s="16" t="s">
        <v>57</v>
      </c>
      <c r="C110" s="15">
        <v>7402391</v>
      </c>
      <c r="D110" s="16" t="s">
        <v>4870</v>
      </c>
      <c r="E110" s="15" t="s">
        <v>4879</v>
      </c>
      <c r="F110" s="21" t="str">
        <f>HYPERLINK("https://psearch.kitsapgov.com/webappa/index.html?parcelID=2482966&amp;Theme=Imagery","2482966")</f>
        <v>2482966</v>
      </c>
      <c r="G110" s="16" t="s">
        <v>107</v>
      </c>
      <c r="H110" s="17">
        <v>42368</v>
      </c>
      <c r="I110" s="18">
        <v>18000000</v>
      </c>
      <c r="J110" s="19">
        <v>20.2</v>
      </c>
      <c r="K110" s="16" t="s">
        <v>4877</v>
      </c>
      <c r="L110" s="16" t="s">
        <v>4645</v>
      </c>
      <c r="M110" s="16" t="s">
        <v>4861</v>
      </c>
      <c r="N110" s="16" t="s">
        <v>4862</v>
      </c>
    </row>
    <row r="111" spans="1:14" ht="20.100000000000001" customHeight="1" x14ac:dyDescent="0.25">
      <c r="A111" s="15" t="s">
        <v>4858</v>
      </c>
      <c r="B111" s="16" t="s">
        <v>57</v>
      </c>
      <c r="C111" s="15">
        <v>7402391</v>
      </c>
      <c r="D111" s="16" t="s">
        <v>4870</v>
      </c>
      <c r="E111" s="15" t="s">
        <v>4880</v>
      </c>
      <c r="F111" s="21" t="str">
        <f>HYPERLINK("https://psearch.kitsapgov.com/webappa/index.html?parcelID=2482974&amp;Theme=Imagery","2482974")</f>
        <v>2482974</v>
      </c>
      <c r="G111" s="16" t="s">
        <v>107</v>
      </c>
      <c r="H111" s="17">
        <v>42368</v>
      </c>
      <c r="I111" s="18">
        <v>18000000</v>
      </c>
      <c r="J111" s="19">
        <v>21.63</v>
      </c>
      <c r="K111" s="16" t="s">
        <v>4877</v>
      </c>
      <c r="L111" s="16" t="s">
        <v>4645</v>
      </c>
      <c r="M111" s="16" t="s">
        <v>4861</v>
      </c>
      <c r="N111" s="16" t="s">
        <v>4862</v>
      </c>
    </row>
    <row r="112" spans="1:14" ht="20.100000000000001" customHeight="1" x14ac:dyDescent="0.25">
      <c r="A112" s="15" t="s">
        <v>4858</v>
      </c>
      <c r="B112" s="16" t="s">
        <v>57</v>
      </c>
      <c r="C112" s="15">
        <v>7402391</v>
      </c>
      <c r="D112" s="16" t="s">
        <v>4870</v>
      </c>
      <c r="E112" s="15" t="s">
        <v>4881</v>
      </c>
      <c r="F112" s="21" t="str">
        <f>HYPERLINK("https://psearch.kitsapgov.com/webappa/index.html?parcelID=2482982&amp;Theme=Imagery","2482982")</f>
        <v>2482982</v>
      </c>
      <c r="G112" s="16" t="s">
        <v>107</v>
      </c>
      <c r="H112" s="17">
        <v>42368</v>
      </c>
      <c r="I112" s="18">
        <v>18000000</v>
      </c>
      <c r="J112" s="19">
        <v>28.33</v>
      </c>
      <c r="K112" s="16" t="s">
        <v>4877</v>
      </c>
      <c r="L112" s="16" t="s">
        <v>4645</v>
      </c>
      <c r="M112" s="16" t="s">
        <v>4861</v>
      </c>
      <c r="N112" s="16" t="s">
        <v>4862</v>
      </c>
    </row>
    <row r="113" spans="1:14" ht="20.100000000000001" customHeight="1" x14ac:dyDescent="0.25">
      <c r="A113" s="15" t="s">
        <v>4858</v>
      </c>
      <c r="B113" s="16" t="s">
        <v>57</v>
      </c>
      <c r="C113" s="15">
        <v>7402391</v>
      </c>
      <c r="D113" s="16" t="s">
        <v>4870</v>
      </c>
      <c r="E113" s="15" t="s">
        <v>4882</v>
      </c>
      <c r="F113" s="21" t="str">
        <f>HYPERLINK("https://psearch.kitsapgov.com/webappa/index.html?parcelID=2482990&amp;Theme=Imagery","2482990")</f>
        <v>2482990</v>
      </c>
      <c r="G113" s="16" t="s">
        <v>107</v>
      </c>
      <c r="H113" s="17">
        <v>42368</v>
      </c>
      <c r="I113" s="18">
        <v>18000000</v>
      </c>
      <c r="J113" s="19">
        <v>19.82</v>
      </c>
      <c r="K113" s="16" t="s">
        <v>4877</v>
      </c>
      <c r="L113" s="16" t="s">
        <v>4645</v>
      </c>
      <c r="M113" s="16" t="s">
        <v>4861</v>
      </c>
      <c r="N113" s="16" t="s">
        <v>4862</v>
      </c>
    </row>
    <row r="114" spans="1:14" ht="20.100000000000001" customHeight="1" x14ac:dyDescent="0.25">
      <c r="A114" s="15" t="s">
        <v>4858</v>
      </c>
      <c r="B114" s="16" t="s">
        <v>57</v>
      </c>
      <c r="C114" s="15">
        <v>7402391</v>
      </c>
      <c r="D114" s="16" t="s">
        <v>4870</v>
      </c>
      <c r="E114" s="15" t="s">
        <v>4883</v>
      </c>
      <c r="F114" s="21" t="str">
        <f>HYPERLINK("https://psearch.kitsapgov.com/webappa/index.html?parcelID=2483006&amp;Theme=Imagery","2483006")</f>
        <v>2483006</v>
      </c>
      <c r="G114" s="16" t="s">
        <v>107</v>
      </c>
      <c r="H114" s="17">
        <v>42368</v>
      </c>
      <c r="I114" s="18">
        <v>18000000</v>
      </c>
      <c r="J114" s="19">
        <v>14.28</v>
      </c>
      <c r="K114" s="16" t="s">
        <v>4877</v>
      </c>
      <c r="L114" s="16" t="s">
        <v>4645</v>
      </c>
      <c r="M114" s="16" t="s">
        <v>4861</v>
      </c>
      <c r="N114" s="16" t="s">
        <v>4862</v>
      </c>
    </row>
    <row r="115" spans="1:14" ht="20.100000000000001" customHeight="1" x14ac:dyDescent="0.25">
      <c r="A115" s="15" t="s">
        <v>4858</v>
      </c>
      <c r="B115" s="16" t="s">
        <v>57</v>
      </c>
      <c r="C115" s="15">
        <v>7402391</v>
      </c>
      <c r="D115" s="16" t="s">
        <v>4870</v>
      </c>
      <c r="E115" s="15" t="s">
        <v>4884</v>
      </c>
      <c r="F115" s="21" t="str">
        <f>HYPERLINK("https://psearch.kitsapgov.com/webappa/index.html?parcelID=2483014&amp;Theme=Imagery","2483014")</f>
        <v>2483014</v>
      </c>
      <c r="G115" s="16" t="s">
        <v>107</v>
      </c>
      <c r="H115" s="17">
        <v>42368</v>
      </c>
      <c r="I115" s="18">
        <v>18000000</v>
      </c>
      <c r="J115" s="19">
        <v>19.79</v>
      </c>
      <c r="K115" s="16" t="s">
        <v>4877</v>
      </c>
      <c r="L115" s="16" t="s">
        <v>4645</v>
      </c>
      <c r="M115" s="16" t="s">
        <v>4861</v>
      </c>
      <c r="N115" s="16" t="s">
        <v>4862</v>
      </c>
    </row>
    <row r="116" spans="1:14" ht="20.100000000000001" customHeight="1" x14ac:dyDescent="0.25">
      <c r="A116" s="15" t="s">
        <v>4858</v>
      </c>
      <c r="B116" s="16" t="s">
        <v>57</v>
      </c>
      <c r="C116" s="15">
        <v>7402391</v>
      </c>
      <c r="D116" s="16" t="s">
        <v>4870</v>
      </c>
      <c r="E116" s="15" t="s">
        <v>4885</v>
      </c>
      <c r="F116" s="21" t="str">
        <f>HYPERLINK("https://psearch.kitsapgov.com/webappa/index.html?parcelID=2483022&amp;Theme=Imagery","2483022")</f>
        <v>2483022</v>
      </c>
      <c r="G116" s="16" t="s">
        <v>107</v>
      </c>
      <c r="H116" s="17">
        <v>42368</v>
      </c>
      <c r="I116" s="18">
        <v>18000000</v>
      </c>
      <c r="J116" s="19">
        <v>26.09</v>
      </c>
      <c r="K116" s="16" t="s">
        <v>4877</v>
      </c>
      <c r="L116" s="16" t="s">
        <v>4645</v>
      </c>
      <c r="M116" s="16" t="s">
        <v>4861</v>
      </c>
      <c r="N116" s="16" t="s">
        <v>4862</v>
      </c>
    </row>
    <row r="117" spans="1:14" ht="20.100000000000001" customHeight="1" x14ac:dyDescent="0.25">
      <c r="A117" s="15" t="s">
        <v>4858</v>
      </c>
      <c r="B117" s="16" t="s">
        <v>57</v>
      </c>
      <c r="C117" s="15">
        <v>7402391</v>
      </c>
      <c r="D117" s="16" t="s">
        <v>4870</v>
      </c>
      <c r="E117" s="15" t="s">
        <v>4886</v>
      </c>
      <c r="F117" s="21" t="str">
        <f>HYPERLINK("https://psearch.kitsapgov.com/webappa/index.html?parcelID=2377182&amp;Theme=Imagery","2377182")</f>
        <v>2377182</v>
      </c>
      <c r="G117" s="16" t="s">
        <v>107</v>
      </c>
      <c r="H117" s="17">
        <v>42368</v>
      </c>
      <c r="I117" s="18">
        <v>18000000</v>
      </c>
      <c r="J117" s="19">
        <v>19.760000000000002</v>
      </c>
      <c r="K117" s="16" t="s">
        <v>4867</v>
      </c>
      <c r="L117" s="16" t="s">
        <v>4645</v>
      </c>
      <c r="M117" s="16" t="s">
        <v>4861</v>
      </c>
      <c r="N117" s="16" t="s">
        <v>4862</v>
      </c>
    </row>
    <row r="118" spans="1:14" ht="20.100000000000001" customHeight="1" x14ac:dyDescent="0.25">
      <c r="A118" s="15" t="s">
        <v>4858</v>
      </c>
      <c r="B118" s="16" t="s">
        <v>57</v>
      </c>
      <c r="C118" s="15">
        <v>7402391</v>
      </c>
      <c r="D118" s="16" t="s">
        <v>4870</v>
      </c>
      <c r="E118" s="15" t="s">
        <v>4887</v>
      </c>
      <c r="F118" s="21" t="str">
        <f>HYPERLINK("https://psearch.kitsapgov.com/webappa/index.html?parcelID=2377190&amp;Theme=Imagery","2377190")</f>
        <v>2377190</v>
      </c>
      <c r="G118" s="16" t="s">
        <v>107</v>
      </c>
      <c r="H118" s="17">
        <v>42368</v>
      </c>
      <c r="I118" s="18">
        <v>18000000</v>
      </c>
      <c r="J118" s="19">
        <v>19.79</v>
      </c>
      <c r="K118" s="16" t="s">
        <v>4867</v>
      </c>
      <c r="L118" s="16" t="s">
        <v>4645</v>
      </c>
      <c r="M118" s="16" t="s">
        <v>4861</v>
      </c>
      <c r="N118" s="16" t="s">
        <v>4862</v>
      </c>
    </row>
    <row r="119" spans="1:14" ht="20.100000000000001" customHeight="1" x14ac:dyDescent="0.25">
      <c r="A119" s="15" t="s">
        <v>4858</v>
      </c>
      <c r="B119" s="16" t="s">
        <v>57</v>
      </c>
      <c r="C119" s="15">
        <v>7402391</v>
      </c>
      <c r="D119" s="16" t="s">
        <v>4870</v>
      </c>
      <c r="E119" s="15" t="s">
        <v>4888</v>
      </c>
      <c r="F119" s="21" t="str">
        <f>HYPERLINK("https://psearch.kitsapgov.com/webappa/index.html?parcelID=2377208&amp;Theme=Imagery","2377208")</f>
        <v>2377208</v>
      </c>
      <c r="G119" s="16" t="s">
        <v>107</v>
      </c>
      <c r="H119" s="17">
        <v>42368</v>
      </c>
      <c r="I119" s="18">
        <v>18000000</v>
      </c>
      <c r="J119" s="19">
        <v>32.01</v>
      </c>
      <c r="K119" s="16" t="s">
        <v>4867</v>
      </c>
      <c r="L119" s="16" t="s">
        <v>4645</v>
      </c>
      <c r="M119" s="16" t="s">
        <v>4861</v>
      </c>
      <c r="N119" s="16" t="s">
        <v>4862</v>
      </c>
    </row>
    <row r="120" spans="1:14" ht="20.100000000000001" customHeight="1" x14ac:dyDescent="0.25">
      <c r="A120" s="15" t="s">
        <v>4858</v>
      </c>
      <c r="B120" s="16" t="s">
        <v>57</v>
      </c>
      <c r="C120" s="15">
        <v>7402391</v>
      </c>
      <c r="D120" s="16" t="s">
        <v>4870</v>
      </c>
      <c r="E120" s="15" t="s">
        <v>4889</v>
      </c>
      <c r="F120" s="21" t="str">
        <f>HYPERLINK("https://psearch.kitsapgov.com/webappa/index.html?parcelID=2377216&amp;Theme=Imagery","2377216")</f>
        <v>2377216</v>
      </c>
      <c r="G120" s="16" t="s">
        <v>107</v>
      </c>
      <c r="H120" s="17">
        <v>42368</v>
      </c>
      <c r="I120" s="18">
        <v>18000000</v>
      </c>
      <c r="J120" s="19">
        <v>25.26</v>
      </c>
      <c r="K120" s="16" t="s">
        <v>4867</v>
      </c>
      <c r="L120" s="16" t="s">
        <v>4645</v>
      </c>
      <c r="M120" s="16" t="s">
        <v>4861</v>
      </c>
      <c r="N120" s="16" t="s">
        <v>4862</v>
      </c>
    </row>
    <row r="121" spans="1:14" ht="20.100000000000001" customHeight="1" x14ac:dyDescent="0.25">
      <c r="A121" s="15" t="s">
        <v>4858</v>
      </c>
      <c r="B121" s="16" t="s">
        <v>57</v>
      </c>
      <c r="C121" s="15">
        <v>7402391</v>
      </c>
      <c r="D121" s="16" t="s">
        <v>4870</v>
      </c>
      <c r="E121" s="15" t="s">
        <v>4890</v>
      </c>
      <c r="F121" s="21" t="str">
        <f>HYPERLINK("https://psearch.kitsapgov.com/webappa/index.html?parcelID=2377224&amp;Theme=Imagery","2377224")</f>
        <v>2377224</v>
      </c>
      <c r="G121" s="16" t="s">
        <v>107</v>
      </c>
      <c r="H121" s="17">
        <v>42368</v>
      </c>
      <c r="I121" s="18">
        <v>18000000</v>
      </c>
      <c r="J121" s="19">
        <v>19.82</v>
      </c>
      <c r="K121" s="16" t="s">
        <v>4867</v>
      </c>
      <c r="L121" s="16" t="s">
        <v>4645</v>
      </c>
      <c r="M121" s="16" t="s">
        <v>4861</v>
      </c>
      <c r="N121" s="16" t="s">
        <v>4862</v>
      </c>
    </row>
    <row r="122" spans="1:14" ht="20.100000000000001" customHeight="1" x14ac:dyDescent="0.25">
      <c r="A122" s="15" t="s">
        <v>4858</v>
      </c>
      <c r="B122" s="16" t="s">
        <v>57</v>
      </c>
      <c r="C122" s="15">
        <v>7402391</v>
      </c>
      <c r="D122" s="16" t="s">
        <v>4870</v>
      </c>
      <c r="E122" s="15" t="s">
        <v>4891</v>
      </c>
      <c r="F122" s="21" t="str">
        <f>HYPERLINK("https://psearch.kitsapgov.com/webappa/index.html?parcelID=2377232&amp;Theme=Imagery","2377232")</f>
        <v>2377232</v>
      </c>
      <c r="G122" s="16" t="s">
        <v>107</v>
      </c>
      <c r="H122" s="17">
        <v>42368</v>
      </c>
      <c r="I122" s="18">
        <v>18000000</v>
      </c>
      <c r="J122" s="19">
        <v>19.850000000000001</v>
      </c>
      <c r="K122" s="16" t="s">
        <v>4867</v>
      </c>
      <c r="L122" s="16" t="s">
        <v>4645</v>
      </c>
      <c r="M122" s="16" t="s">
        <v>4861</v>
      </c>
      <c r="N122" s="16" t="s">
        <v>4862</v>
      </c>
    </row>
    <row r="123" spans="1:14" ht="20.100000000000001" customHeight="1" x14ac:dyDescent="0.25">
      <c r="A123" s="15" t="s">
        <v>4858</v>
      </c>
      <c r="B123" s="16" t="s">
        <v>57</v>
      </c>
      <c r="C123" s="15">
        <v>7402391</v>
      </c>
      <c r="D123" s="16" t="s">
        <v>4870</v>
      </c>
      <c r="E123" s="15" t="s">
        <v>4892</v>
      </c>
      <c r="F123" s="21" t="str">
        <f>HYPERLINK("https://psearch.kitsapgov.com/webappa/index.html?parcelID=2377240&amp;Theme=Imagery","2377240")</f>
        <v>2377240</v>
      </c>
      <c r="G123" s="16" t="s">
        <v>107</v>
      </c>
      <c r="H123" s="17">
        <v>42368</v>
      </c>
      <c r="I123" s="18">
        <v>18000000</v>
      </c>
      <c r="J123" s="19">
        <v>22.33</v>
      </c>
      <c r="K123" s="16" t="s">
        <v>4867</v>
      </c>
      <c r="L123" s="16" t="s">
        <v>4645</v>
      </c>
      <c r="M123" s="16" t="s">
        <v>4861</v>
      </c>
      <c r="N123" s="16" t="s">
        <v>4862</v>
      </c>
    </row>
    <row r="124" spans="1:14" ht="20.100000000000001" customHeight="1" x14ac:dyDescent="0.25">
      <c r="A124" s="15" t="s">
        <v>4858</v>
      </c>
      <c r="B124" s="16" t="s">
        <v>57</v>
      </c>
      <c r="C124" s="15">
        <v>7402391</v>
      </c>
      <c r="D124" s="16" t="s">
        <v>4870</v>
      </c>
      <c r="E124" s="15" t="s">
        <v>4893</v>
      </c>
      <c r="F124" s="21" t="str">
        <f>HYPERLINK("https://psearch.kitsapgov.com/webappa/index.html?parcelID=1964055&amp;Theme=Imagery","1964055")</f>
        <v>1964055</v>
      </c>
      <c r="G124" s="16" t="s">
        <v>107</v>
      </c>
      <c r="H124" s="17">
        <v>42368</v>
      </c>
      <c r="I124" s="18">
        <v>18000000</v>
      </c>
      <c r="J124" s="19">
        <v>7.75</v>
      </c>
      <c r="K124" s="16" t="s">
        <v>4894</v>
      </c>
      <c r="L124" s="16" t="s">
        <v>4645</v>
      </c>
      <c r="M124" s="16" t="s">
        <v>4861</v>
      </c>
      <c r="N124" s="16" t="s">
        <v>4862</v>
      </c>
    </row>
    <row r="125" spans="1:14" ht="39.950000000000003" customHeight="1" x14ac:dyDescent="0.25">
      <c r="A125" s="15" t="s">
        <v>4895</v>
      </c>
      <c r="B125" s="16" t="s">
        <v>143</v>
      </c>
      <c r="C125" s="15">
        <v>8100502</v>
      </c>
      <c r="D125" s="16" t="s">
        <v>67</v>
      </c>
      <c r="E125" s="15" t="s">
        <v>4896</v>
      </c>
      <c r="F125" s="21" t="str">
        <f>HYPERLINK("https://psearch.kitsapgov.com/webappa/index.html?parcelID=1457613&amp;Theme=Imagery","1457613")</f>
        <v>1457613</v>
      </c>
      <c r="G125" s="16" t="s">
        <v>4897</v>
      </c>
      <c r="H125" s="17">
        <v>42360</v>
      </c>
      <c r="I125" s="18">
        <v>155000</v>
      </c>
      <c r="J125" s="19">
        <v>0.17</v>
      </c>
      <c r="K125" s="16" t="s">
        <v>85</v>
      </c>
      <c r="L125" s="16" t="s">
        <v>981</v>
      </c>
      <c r="M125" s="16" t="s">
        <v>4898</v>
      </c>
      <c r="N125" s="16" t="s">
        <v>4899</v>
      </c>
    </row>
    <row r="126" spans="1:14" ht="20.100000000000001" customHeight="1" x14ac:dyDescent="0.25">
      <c r="A126" s="15" t="s">
        <v>4895</v>
      </c>
      <c r="B126" s="16" t="s">
        <v>89</v>
      </c>
      <c r="C126" s="15">
        <v>8100502</v>
      </c>
      <c r="D126" s="16" t="s">
        <v>67</v>
      </c>
      <c r="E126" s="15" t="s">
        <v>4900</v>
      </c>
      <c r="F126" s="21" t="str">
        <f>HYPERLINK("https://psearch.kitsapgov.com/webappa/index.html?parcelID=2316420&amp;Theme=Imagery","2316420")</f>
        <v>2316420</v>
      </c>
      <c r="G126" s="16" t="s">
        <v>4901</v>
      </c>
      <c r="H126" s="17">
        <v>42360</v>
      </c>
      <c r="I126" s="18">
        <v>155000</v>
      </c>
      <c r="J126" s="19">
        <v>0</v>
      </c>
      <c r="L126" s="16" t="s">
        <v>981</v>
      </c>
      <c r="M126" s="16" t="s">
        <v>4898</v>
      </c>
      <c r="N126" s="16" t="s">
        <v>4899</v>
      </c>
    </row>
    <row r="127" spans="1:14" ht="39.950000000000003" customHeight="1" x14ac:dyDescent="0.25">
      <c r="A127" s="15" t="s">
        <v>4902</v>
      </c>
      <c r="B127" s="16" t="s">
        <v>306</v>
      </c>
      <c r="C127" s="15">
        <v>8100504</v>
      </c>
      <c r="D127" s="16" t="s">
        <v>58</v>
      </c>
      <c r="E127" s="15" t="s">
        <v>4903</v>
      </c>
      <c r="F127" s="21" t="str">
        <f>HYPERLINK("https://psearch.kitsapgov.com/webappa/index.html?parcelID=1160712&amp;Theme=Imagery","1160712")</f>
        <v>1160712</v>
      </c>
      <c r="G127" s="16" t="s">
        <v>4904</v>
      </c>
      <c r="H127" s="17">
        <v>42376</v>
      </c>
      <c r="I127" s="18">
        <v>400000</v>
      </c>
      <c r="J127" s="19">
        <v>0.47</v>
      </c>
      <c r="K127" s="16" t="s">
        <v>78</v>
      </c>
      <c r="L127" s="16" t="s">
        <v>246</v>
      </c>
      <c r="M127" s="16" t="s">
        <v>4905</v>
      </c>
      <c r="N127" s="16" t="s">
        <v>4906</v>
      </c>
    </row>
    <row r="128" spans="1:14" ht="20.100000000000001" customHeight="1" x14ac:dyDescent="0.25">
      <c r="A128" s="15" t="s">
        <v>4902</v>
      </c>
      <c r="B128" s="16" t="s">
        <v>57</v>
      </c>
      <c r="C128" s="15">
        <v>8100504</v>
      </c>
      <c r="D128" s="16" t="s">
        <v>58</v>
      </c>
      <c r="E128" s="15" t="s">
        <v>4907</v>
      </c>
      <c r="F128" s="21" t="str">
        <f>HYPERLINK("https://psearch.kitsapgov.com/webappa/index.html?parcelID=1160746&amp;Theme=Imagery","1160746")</f>
        <v>1160746</v>
      </c>
      <c r="G128" s="16" t="s">
        <v>4908</v>
      </c>
      <c r="H128" s="17">
        <v>42376</v>
      </c>
      <c r="I128" s="18">
        <v>400000</v>
      </c>
      <c r="J128" s="19">
        <v>0.34</v>
      </c>
      <c r="K128" s="16" t="s">
        <v>78</v>
      </c>
      <c r="L128" s="16" t="s">
        <v>246</v>
      </c>
      <c r="M128" s="16" t="s">
        <v>4905</v>
      </c>
      <c r="N128" s="16" t="s">
        <v>4906</v>
      </c>
    </row>
    <row r="129" spans="1:14" ht="20.100000000000001" customHeight="1" x14ac:dyDescent="0.25">
      <c r="A129" s="15" t="s">
        <v>4902</v>
      </c>
      <c r="B129" s="16" t="s">
        <v>57</v>
      </c>
      <c r="C129" s="15">
        <v>7100591</v>
      </c>
      <c r="D129" s="16" t="s">
        <v>4909</v>
      </c>
      <c r="E129" s="15" t="s">
        <v>4910</v>
      </c>
      <c r="F129" s="21" t="str">
        <f>HYPERLINK("https://psearch.kitsapgov.com/webappa/index.html?parcelID=1716943&amp;Theme=Imagery","1716943")</f>
        <v>1716943</v>
      </c>
      <c r="G129" s="16" t="s">
        <v>107</v>
      </c>
      <c r="H129" s="17">
        <v>42376</v>
      </c>
      <c r="I129" s="18">
        <v>400000</v>
      </c>
      <c r="J129" s="19">
        <v>7.0000000000000007E-2</v>
      </c>
      <c r="K129" s="16" t="s">
        <v>108</v>
      </c>
      <c r="L129" s="16" t="s">
        <v>246</v>
      </c>
      <c r="M129" s="16" t="s">
        <v>4905</v>
      </c>
      <c r="N129" s="16" t="s">
        <v>4906</v>
      </c>
    </row>
    <row r="130" spans="1:14" ht="20.100000000000001" customHeight="1" x14ac:dyDescent="0.25">
      <c r="A130" s="15" t="s">
        <v>4902</v>
      </c>
      <c r="B130" s="16" t="s">
        <v>57</v>
      </c>
      <c r="C130" s="15">
        <v>7100591</v>
      </c>
      <c r="D130" s="16" t="s">
        <v>4909</v>
      </c>
      <c r="E130" s="15" t="s">
        <v>4911</v>
      </c>
      <c r="F130" s="21" t="str">
        <f>HYPERLINK("https://psearch.kitsapgov.com/webappa/index.html?parcelID=1716950&amp;Theme=Imagery","1716950")</f>
        <v>1716950</v>
      </c>
      <c r="G130" s="16" t="s">
        <v>107</v>
      </c>
      <c r="H130" s="17">
        <v>42376</v>
      </c>
      <c r="I130" s="18">
        <v>400000</v>
      </c>
      <c r="J130" s="19">
        <v>0.28999999999999998</v>
      </c>
      <c r="K130" s="16" t="s">
        <v>108</v>
      </c>
      <c r="L130" s="16" t="s">
        <v>246</v>
      </c>
      <c r="M130" s="16" t="s">
        <v>4905</v>
      </c>
      <c r="N130" s="16" t="s">
        <v>4906</v>
      </c>
    </row>
    <row r="131" spans="1:14" ht="20.100000000000001" customHeight="1" x14ac:dyDescent="0.25">
      <c r="A131" s="15" t="s">
        <v>4902</v>
      </c>
      <c r="B131" s="16" t="s">
        <v>57</v>
      </c>
      <c r="C131" s="15">
        <v>7100591</v>
      </c>
      <c r="D131" s="16" t="s">
        <v>4909</v>
      </c>
      <c r="E131" s="15" t="s">
        <v>4912</v>
      </c>
      <c r="F131" s="21" t="str">
        <f>HYPERLINK("https://psearch.kitsapgov.com/webappa/index.html?parcelID=1718048&amp;Theme=Imagery","1718048")</f>
        <v>1718048</v>
      </c>
      <c r="G131" s="16" t="s">
        <v>107</v>
      </c>
      <c r="H131" s="17">
        <v>42376</v>
      </c>
      <c r="I131" s="18">
        <v>400000</v>
      </c>
      <c r="J131" s="19">
        <v>0.4</v>
      </c>
      <c r="K131" s="16" t="s">
        <v>108</v>
      </c>
      <c r="L131" s="16" t="s">
        <v>246</v>
      </c>
      <c r="M131" s="16" t="s">
        <v>4905</v>
      </c>
      <c r="N131" s="16" t="s">
        <v>4906</v>
      </c>
    </row>
    <row r="132" spans="1:14" ht="20.100000000000001" customHeight="1" x14ac:dyDescent="0.25">
      <c r="A132" s="15" t="s">
        <v>4902</v>
      </c>
      <c r="B132" s="16" t="s">
        <v>57</v>
      </c>
      <c r="C132" s="15">
        <v>7100591</v>
      </c>
      <c r="D132" s="16" t="s">
        <v>4909</v>
      </c>
      <c r="E132" s="15" t="s">
        <v>4913</v>
      </c>
      <c r="F132" s="21" t="str">
        <f>HYPERLINK("https://psearch.kitsapgov.com/webappa/index.html?parcelID=1718642&amp;Theme=Imagery","1718642")</f>
        <v>1718642</v>
      </c>
      <c r="G132" s="16" t="s">
        <v>107</v>
      </c>
      <c r="H132" s="17">
        <v>42376</v>
      </c>
      <c r="I132" s="18">
        <v>400000</v>
      </c>
      <c r="J132" s="19">
        <v>0.12</v>
      </c>
      <c r="K132" s="16" t="s">
        <v>108</v>
      </c>
      <c r="L132" s="16" t="s">
        <v>246</v>
      </c>
      <c r="M132" s="16" t="s">
        <v>4905</v>
      </c>
      <c r="N132" s="16" t="s">
        <v>4906</v>
      </c>
    </row>
    <row r="133" spans="1:14" ht="20.100000000000001" customHeight="1" x14ac:dyDescent="0.25">
      <c r="A133" s="15" t="s">
        <v>4902</v>
      </c>
      <c r="B133" s="16" t="s">
        <v>57</v>
      </c>
      <c r="C133" s="15">
        <v>7100591</v>
      </c>
      <c r="D133" s="16" t="s">
        <v>4909</v>
      </c>
      <c r="E133" s="15" t="s">
        <v>4914</v>
      </c>
      <c r="F133" s="21" t="str">
        <f>HYPERLINK("https://psearch.kitsapgov.com/webappa/index.html?parcelID=1718659&amp;Theme=Imagery","1718659")</f>
        <v>1718659</v>
      </c>
      <c r="G133" s="16" t="s">
        <v>107</v>
      </c>
      <c r="H133" s="17">
        <v>42376</v>
      </c>
      <c r="I133" s="18">
        <v>400000</v>
      </c>
      <c r="J133" s="19">
        <v>0.15</v>
      </c>
      <c r="K133" s="16" t="s">
        <v>108</v>
      </c>
      <c r="L133" s="16" t="s">
        <v>246</v>
      </c>
      <c r="M133" s="16" t="s">
        <v>4905</v>
      </c>
      <c r="N133" s="16" t="s">
        <v>4906</v>
      </c>
    </row>
    <row r="134" spans="1:14" ht="20.100000000000001" customHeight="1" x14ac:dyDescent="0.25">
      <c r="A134" s="15" t="s">
        <v>4902</v>
      </c>
      <c r="B134" s="16" t="s">
        <v>57</v>
      </c>
      <c r="C134" s="15">
        <v>7100591</v>
      </c>
      <c r="D134" s="16" t="s">
        <v>4909</v>
      </c>
      <c r="E134" s="15" t="s">
        <v>4915</v>
      </c>
      <c r="F134" s="21" t="str">
        <f>HYPERLINK("https://psearch.kitsapgov.com/webappa/index.html?parcelID=1718667&amp;Theme=Imagery","1718667")</f>
        <v>1718667</v>
      </c>
      <c r="G134" s="16" t="s">
        <v>107</v>
      </c>
      <c r="H134" s="17">
        <v>42376</v>
      </c>
      <c r="I134" s="18">
        <v>400000</v>
      </c>
      <c r="J134" s="19">
        <v>0.16</v>
      </c>
      <c r="K134" s="16" t="s">
        <v>108</v>
      </c>
      <c r="L134" s="16" t="s">
        <v>246</v>
      </c>
      <c r="M134" s="16" t="s">
        <v>4905</v>
      </c>
      <c r="N134" s="16" t="s">
        <v>4906</v>
      </c>
    </row>
    <row r="135" spans="1:14" ht="39.950000000000003" customHeight="1" x14ac:dyDescent="0.25">
      <c r="A135" s="15" t="s">
        <v>4916</v>
      </c>
      <c r="B135" s="16" t="s">
        <v>330</v>
      </c>
      <c r="C135" s="15">
        <v>8100504</v>
      </c>
      <c r="D135" s="16" t="s">
        <v>58</v>
      </c>
      <c r="E135" s="15" t="s">
        <v>4917</v>
      </c>
      <c r="F135" s="21" t="str">
        <f>HYPERLINK("https://psearch.kitsapgov.com/webappa/index.html?parcelID=1160688&amp;Theme=Imagery","1160688")</f>
        <v>1160688</v>
      </c>
      <c r="G135" s="16" t="s">
        <v>4918</v>
      </c>
      <c r="H135" s="17">
        <v>42376</v>
      </c>
      <c r="I135" s="18">
        <v>400000</v>
      </c>
      <c r="J135" s="19">
        <v>0.03</v>
      </c>
      <c r="K135" s="16" t="s">
        <v>78</v>
      </c>
      <c r="L135" s="16" t="s">
        <v>246</v>
      </c>
      <c r="M135" s="16" t="s">
        <v>4905</v>
      </c>
      <c r="N135" s="16" t="s">
        <v>4906</v>
      </c>
    </row>
    <row r="136" spans="1:14" ht="20.100000000000001" customHeight="1" x14ac:dyDescent="0.25">
      <c r="A136" s="15" t="s">
        <v>4916</v>
      </c>
      <c r="B136" s="16" t="s">
        <v>330</v>
      </c>
      <c r="C136" s="15">
        <v>8100504</v>
      </c>
      <c r="D136" s="16" t="s">
        <v>58</v>
      </c>
      <c r="E136" s="15" t="s">
        <v>4919</v>
      </c>
      <c r="F136" s="21" t="str">
        <f>HYPERLINK("https://psearch.kitsapgov.com/webappa/index.html?parcelID=1160696&amp;Theme=Imagery","1160696")</f>
        <v>1160696</v>
      </c>
      <c r="G136" s="16" t="s">
        <v>4920</v>
      </c>
      <c r="H136" s="17">
        <v>42376</v>
      </c>
      <c r="I136" s="18">
        <v>400000</v>
      </c>
      <c r="J136" s="19">
        <v>7.0000000000000007E-2</v>
      </c>
      <c r="K136" s="16" t="s">
        <v>78</v>
      </c>
      <c r="L136" s="16" t="s">
        <v>246</v>
      </c>
      <c r="M136" s="16" t="s">
        <v>4905</v>
      </c>
      <c r="N136" s="16" t="s">
        <v>4906</v>
      </c>
    </row>
    <row r="137" spans="1:14" ht="20.100000000000001" customHeight="1" x14ac:dyDescent="0.25">
      <c r="A137" s="15" t="s">
        <v>4916</v>
      </c>
      <c r="B137" s="16" t="s">
        <v>330</v>
      </c>
      <c r="C137" s="15">
        <v>8100504</v>
      </c>
      <c r="D137" s="16" t="s">
        <v>58</v>
      </c>
      <c r="E137" s="15" t="s">
        <v>4921</v>
      </c>
      <c r="F137" s="21" t="str">
        <f>HYPERLINK("https://psearch.kitsapgov.com/webappa/index.html?parcelID=1160704&amp;Theme=Imagery","1160704")</f>
        <v>1160704</v>
      </c>
      <c r="G137" s="16" t="s">
        <v>4920</v>
      </c>
      <c r="H137" s="17">
        <v>42376</v>
      </c>
      <c r="I137" s="18">
        <v>400000</v>
      </c>
      <c r="J137" s="19">
        <v>0.01</v>
      </c>
      <c r="K137" s="16" t="s">
        <v>78</v>
      </c>
      <c r="L137" s="16" t="s">
        <v>246</v>
      </c>
      <c r="M137" s="16" t="s">
        <v>4905</v>
      </c>
      <c r="N137" s="16" t="s">
        <v>4906</v>
      </c>
    </row>
    <row r="138" spans="1:14" ht="20.100000000000001" customHeight="1" x14ac:dyDescent="0.25">
      <c r="A138" s="15" t="s">
        <v>4916</v>
      </c>
      <c r="B138" s="16" t="s">
        <v>96</v>
      </c>
      <c r="C138" s="15">
        <v>8100504</v>
      </c>
      <c r="D138" s="16" t="s">
        <v>58</v>
      </c>
      <c r="E138" s="15" t="s">
        <v>4922</v>
      </c>
      <c r="F138" s="21" t="str">
        <f>HYPERLINK("https://psearch.kitsapgov.com/webappa/index.html?parcelID=1160720&amp;Theme=Imagery","1160720")</f>
        <v>1160720</v>
      </c>
      <c r="G138" s="16" t="s">
        <v>4923</v>
      </c>
      <c r="H138" s="17">
        <v>42376</v>
      </c>
      <c r="I138" s="18">
        <v>400000</v>
      </c>
      <c r="J138" s="19">
        <v>0.25</v>
      </c>
      <c r="K138" s="16" t="s">
        <v>78</v>
      </c>
      <c r="L138" s="16" t="s">
        <v>246</v>
      </c>
      <c r="M138" s="16" t="s">
        <v>4905</v>
      </c>
      <c r="N138" s="16" t="s">
        <v>4906</v>
      </c>
    </row>
    <row r="139" spans="1:14" ht="20.100000000000001" customHeight="1" x14ac:dyDescent="0.25">
      <c r="A139" s="15" t="s">
        <v>4916</v>
      </c>
      <c r="B139" s="16" t="s">
        <v>330</v>
      </c>
      <c r="C139" s="15">
        <v>8100504</v>
      </c>
      <c r="D139" s="16" t="s">
        <v>58</v>
      </c>
      <c r="E139" s="15" t="s">
        <v>4924</v>
      </c>
      <c r="F139" s="21" t="str">
        <f>HYPERLINK("https://psearch.kitsapgov.com/webappa/index.html?parcelID=1160753&amp;Theme=Imagery","1160753")</f>
        <v>1160753</v>
      </c>
      <c r="G139" s="16" t="s">
        <v>4925</v>
      </c>
      <c r="H139" s="17">
        <v>42376</v>
      </c>
      <c r="I139" s="18">
        <v>400000</v>
      </c>
      <c r="J139" s="19">
        <v>0.19</v>
      </c>
      <c r="K139" s="16" t="s">
        <v>78</v>
      </c>
      <c r="L139" s="16" t="s">
        <v>246</v>
      </c>
      <c r="M139" s="16" t="s">
        <v>4905</v>
      </c>
      <c r="N139" s="16" t="s">
        <v>4906</v>
      </c>
    </row>
    <row r="140" spans="1:14" ht="20.100000000000001" customHeight="1" x14ac:dyDescent="0.25">
      <c r="A140" s="15" t="s">
        <v>4916</v>
      </c>
      <c r="B140" s="16" t="s">
        <v>330</v>
      </c>
      <c r="C140" s="15">
        <v>8100504</v>
      </c>
      <c r="D140" s="16" t="s">
        <v>58</v>
      </c>
      <c r="E140" s="15" t="s">
        <v>4926</v>
      </c>
      <c r="F140" s="21" t="str">
        <f>HYPERLINK("https://psearch.kitsapgov.com/webappa/index.html?parcelID=1718675&amp;Theme=Imagery","1718675")</f>
        <v>1718675</v>
      </c>
      <c r="G140" s="16" t="s">
        <v>4918</v>
      </c>
      <c r="H140" s="17">
        <v>42376</v>
      </c>
      <c r="I140" s="18">
        <v>400000</v>
      </c>
      <c r="J140" s="19">
        <v>0.08</v>
      </c>
      <c r="K140" s="16" t="s">
        <v>78</v>
      </c>
      <c r="L140" s="16" t="s">
        <v>246</v>
      </c>
      <c r="M140" s="16" t="s">
        <v>4905</v>
      </c>
      <c r="N140" s="16" t="s">
        <v>4906</v>
      </c>
    </row>
    <row r="141" spans="1:14" ht="39.950000000000003" customHeight="1" x14ac:dyDescent="0.25">
      <c r="A141" s="15" t="s">
        <v>4927</v>
      </c>
      <c r="B141" s="16" t="s">
        <v>57</v>
      </c>
      <c r="C141" s="15">
        <v>8100502</v>
      </c>
      <c r="D141" s="16" t="s">
        <v>67</v>
      </c>
      <c r="E141" s="15" t="s">
        <v>4928</v>
      </c>
      <c r="F141" s="21" t="str">
        <f>HYPERLINK("https://psearch.kitsapgov.com/webappa/index.html?parcelID=1446574&amp;Theme=Imagery","1446574")</f>
        <v>1446574</v>
      </c>
      <c r="G141" s="16" t="s">
        <v>4929</v>
      </c>
      <c r="H141" s="17">
        <v>42383</v>
      </c>
      <c r="I141" s="18">
        <v>800000</v>
      </c>
      <c r="J141" s="19">
        <v>0.73</v>
      </c>
      <c r="K141" s="16" t="s">
        <v>85</v>
      </c>
      <c r="L141" s="16" t="s">
        <v>4645</v>
      </c>
      <c r="M141" s="16" t="s">
        <v>2413</v>
      </c>
      <c r="N141" s="16" t="s">
        <v>4930</v>
      </c>
    </row>
    <row r="142" spans="1:14" ht="20.100000000000001" customHeight="1" x14ac:dyDescent="0.25">
      <c r="A142" s="15" t="s">
        <v>4927</v>
      </c>
      <c r="B142" s="16" t="s">
        <v>239</v>
      </c>
      <c r="C142" s="15">
        <v>8100502</v>
      </c>
      <c r="D142" s="16" t="s">
        <v>67</v>
      </c>
      <c r="E142" s="15" t="s">
        <v>4931</v>
      </c>
      <c r="F142" s="21" t="str">
        <f>HYPERLINK("https://psearch.kitsapgov.com/webappa/index.html?parcelID=1446590&amp;Theme=Imagery","1446590")</f>
        <v>1446590</v>
      </c>
      <c r="G142" s="16" t="s">
        <v>4932</v>
      </c>
      <c r="H142" s="17">
        <v>42383</v>
      </c>
      <c r="I142" s="18">
        <v>800000</v>
      </c>
      <c r="J142" s="19">
        <v>0.91</v>
      </c>
      <c r="K142" s="16" t="s">
        <v>85</v>
      </c>
      <c r="L142" s="16" t="s">
        <v>4645</v>
      </c>
      <c r="M142" s="16" t="s">
        <v>2413</v>
      </c>
      <c r="N142" s="16" t="s">
        <v>4930</v>
      </c>
    </row>
    <row r="143" spans="1:14" ht="39.950000000000003" customHeight="1" x14ac:dyDescent="0.25">
      <c r="A143" s="15" t="s">
        <v>4933</v>
      </c>
      <c r="B143" s="16" t="s">
        <v>3696</v>
      </c>
      <c r="C143" s="15">
        <v>9100541</v>
      </c>
      <c r="D143" s="16" t="s">
        <v>215</v>
      </c>
      <c r="E143" s="15" t="s">
        <v>4934</v>
      </c>
      <c r="F143" s="21" t="str">
        <f>HYPERLINK("https://psearch.kitsapgov.com/webappa/index.html?parcelID=1452028&amp;Theme=Imagery","1452028")</f>
        <v>1452028</v>
      </c>
      <c r="G143" s="16" t="s">
        <v>4935</v>
      </c>
      <c r="H143" s="17">
        <v>42391</v>
      </c>
      <c r="I143" s="18">
        <v>5825000</v>
      </c>
      <c r="J143" s="19">
        <v>0.46</v>
      </c>
      <c r="K143" s="16" t="s">
        <v>28</v>
      </c>
      <c r="L143" s="16" t="s">
        <v>743</v>
      </c>
      <c r="M143" s="16" t="s">
        <v>4936</v>
      </c>
      <c r="N143" s="16" t="s">
        <v>4937</v>
      </c>
    </row>
    <row r="144" spans="1:14" ht="20.100000000000001" customHeight="1" x14ac:dyDescent="0.25">
      <c r="A144" s="15" t="s">
        <v>4933</v>
      </c>
      <c r="B144" s="16" t="s">
        <v>393</v>
      </c>
      <c r="C144" s="15">
        <v>9100541</v>
      </c>
      <c r="D144" s="16" t="s">
        <v>215</v>
      </c>
      <c r="E144" s="15" t="s">
        <v>4938</v>
      </c>
      <c r="F144" s="21" t="str">
        <f>HYPERLINK("https://psearch.kitsapgov.com/webappa/index.html?parcelID=1452036&amp;Theme=Imagery","1452036")</f>
        <v>1452036</v>
      </c>
      <c r="G144" s="16" t="s">
        <v>4939</v>
      </c>
      <c r="H144" s="17">
        <v>42391</v>
      </c>
      <c r="I144" s="18">
        <v>5825000</v>
      </c>
      <c r="J144" s="19">
        <v>1.06</v>
      </c>
      <c r="K144" s="16" t="s">
        <v>28</v>
      </c>
      <c r="L144" s="16" t="s">
        <v>743</v>
      </c>
      <c r="M144" s="16" t="s">
        <v>4936</v>
      </c>
      <c r="N144" s="16" t="s">
        <v>4937</v>
      </c>
    </row>
    <row r="145" spans="1:14" ht="39.950000000000003" customHeight="1" x14ac:dyDescent="0.25">
      <c r="A145" s="15" t="s">
        <v>4940</v>
      </c>
      <c r="B145" s="16" t="s">
        <v>96</v>
      </c>
      <c r="C145" s="15">
        <v>8400203</v>
      </c>
      <c r="D145" s="16" t="s">
        <v>97</v>
      </c>
      <c r="E145" s="15" t="s">
        <v>4941</v>
      </c>
      <c r="F145" s="21" t="str">
        <f>HYPERLINK("https://psearch.kitsapgov.com/webappa/index.html?parcelID=1998806&amp;Theme=Imagery","1998806")</f>
        <v>1998806</v>
      </c>
      <c r="G145" s="16" t="s">
        <v>4942</v>
      </c>
      <c r="H145" s="17">
        <v>42395</v>
      </c>
      <c r="I145" s="18">
        <v>250000</v>
      </c>
      <c r="J145" s="19">
        <v>0.41</v>
      </c>
      <c r="K145" s="16" t="s">
        <v>100</v>
      </c>
      <c r="L145" s="16" t="s">
        <v>4645</v>
      </c>
      <c r="M145" s="16" t="s">
        <v>4943</v>
      </c>
      <c r="N145" s="16" t="s">
        <v>4944</v>
      </c>
    </row>
    <row r="146" spans="1:14" ht="20.100000000000001" customHeight="1" x14ac:dyDescent="0.25">
      <c r="A146" s="15" t="s">
        <v>4940</v>
      </c>
      <c r="B146" s="16" t="s">
        <v>33</v>
      </c>
      <c r="C146" s="15">
        <v>8400203</v>
      </c>
      <c r="D146" s="16" t="s">
        <v>97</v>
      </c>
      <c r="E146" s="15" t="s">
        <v>4945</v>
      </c>
      <c r="F146" s="21" t="str">
        <f>HYPERLINK("https://psearch.kitsapgov.com/webappa/index.html?parcelID=1998814&amp;Theme=Imagery","1998814")</f>
        <v>1998814</v>
      </c>
      <c r="G146" s="16" t="s">
        <v>4946</v>
      </c>
      <c r="H146" s="17">
        <v>42395</v>
      </c>
      <c r="I146" s="18">
        <v>250000</v>
      </c>
      <c r="J146" s="19">
        <v>0.66</v>
      </c>
      <c r="K146" s="16" t="s">
        <v>100</v>
      </c>
      <c r="L146" s="16" t="s">
        <v>4645</v>
      </c>
      <c r="M146" s="16" t="s">
        <v>4943</v>
      </c>
      <c r="N146" s="16" t="s">
        <v>4944</v>
      </c>
    </row>
    <row r="147" spans="1:14" ht="39.950000000000003" customHeight="1" x14ac:dyDescent="0.25">
      <c r="A147" s="15" t="s">
        <v>4947</v>
      </c>
      <c r="B147" s="16" t="s">
        <v>286</v>
      </c>
      <c r="C147" s="15">
        <v>8303660</v>
      </c>
      <c r="D147" s="16" t="s">
        <v>313</v>
      </c>
      <c r="E147" s="15" t="s">
        <v>4948</v>
      </c>
      <c r="F147" s="21" t="str">
        <f>HYPERLINK("https://psearch.kitsapgov.com/webappa/index.html?parcelID=1880988&amp;Theme=Imagery","1880988")</f>
        <v>1880988</v>
      </c>
      <c r="G147" s="16" t="s">
        <v>4949</v>
      </c>
      <c r="H147" s="17">
        <v>42402</v>
      </c>
      <c r="I147" s="18">
        <v>30000</v>
      </c>
      <c r="J147" s="19">
        <v>0</v>
      </c>
      <c r="L147" s="16" t="s">
        <v>4645</v>
      </c>
      <c r="M147" s="16" t="s">
        <v>4950</v>
      </c>
      <c r="N147" s="16" t="s">
        <v>4951</v>
      </c>
    </row>
    <row r="148" spans="1:14" ht="20.100000000000001" customHeight="1" x14ac:dyDescent="0.25">
      <c r="A148" s="15" t="s">
        <v>4947</v>
      </c>
      <c r="B148" s="16" t="s">
        <v>286</v>
      </c>
      <c r="C148" s="15">
        <v>8303660</v>
      </c>
      <c r="D148" s="16" t="s">
        <v>313</v>
      </c>
      <c r="E148" s="15" t="s">
        <v>4952</v>
      </c>
      <c r="F148" s="21" t="str">
        <f>HYPERLINK("https://psearch.kitsapgov.com/webappa/index.html?parcelID=1881002&amp;Theme=Imagery","1881002")</f>
        <v>1881002</v>
      </c>
      <c r="G148" s="16" t="s">
        <v>4953</v>
      </c>
      <c r="H148" s="17">
        <v>42402</v>
      </c>
      <c r="I148" s="18">
        <v>30000</v>
      </c>
      <c r="J148" s="19">
        <v>0</v>
      </c>
      <c r="L148" s="16" t="s">
        <v>4645</v>
      </c>
      <c r="M148" s="16" t="s">
        <v>4950</v>
      </c>
      <c r="N148" s="16" t="s">
        <v>4951</v>
      </c>
    </row>
    <row r="149" spans="1:14" ht="39.950000000000003" customHeight="1" x14ac:dyDescent="0.25">
      <c r="A149" s="15" t="s">
        <v>4954</v>
      </c>
      <c r="B149" s="16" t="s">
        <v>89</v>
      </c>
      <c r="C149" s="15">
        <v>9100592</v>
      </c>
      <c r="D149" s="16" t="s">
        <v>105</v>
      </c>
      <c r="E149" s="15" t="s">
        <v>4955</v>
      </c>
      <c r="F149" s="21" t="str">
        <f>HYPERLINK("https://psearch.kitsapgov.com/webappa/index.html?parcelID=1105329&amp;Theme=Imagery","1105329")</f>
        <v>1105329</v>
      </c>
      <c r="G149" s="16" t="s">
        <v>4956</v>
      </c>
      <c r="H149" s="17">
        <v>42417</v>
      </c>
      <c r="I149" s="18">
        <v>210000</v>
      </c>
      <c r="J149" s="19">
        <v>0.28999999999999998</v>
      </c>
      <c r="K149" s="16" t="s">
        <v>78</v>
      </c>
      <c r="L149" s="16" t="s">
        <v>4656</v>
      </c>
      <c r="M149" s="16" t="s">
        <v>4957</v>
      </c>
      <c r="N149" s="16" t="s">
        <v>4958</v>
      </c>
    </row>
    <row r="150" spans="1:14" ht="20.100000000000001" customHeight="1" x14ac:dyDescent="0.25">
      <c r="A150" s="15" t="s">
        <v>4954</v>
      </c>
      <c r="B150" s="16" t="s">
        <v>57</v>
      </c>
      <c r="C150" s="15">
        <v>7100592</v>
      </c>
      <c r="D150" s="16" t="s">
        <v>4959</v>
      </c>
      <c r="E150" s="15" t="s">
        <v>4960</v>
      </c>
      <c r="F150" s="21" t="str">
        <f>HYPERLINK("https://psearch.kitsapgov.com/webappa/index.html?parcelID=1105360&amp;Theme=Imagery","1105360")</f>
        <v>1105360</v>
      </c>
      <c r="G150" s="16" t="s">
        <v>107</v>
      </c>
      <c r="H150" s="17">
        <v>42417</v>
      </c>
      <c r="I150" s="18">
        <v>210000</v>
      </c>
      <c r="J150" s="19">
        <v>0.51</v>
      </c>
      <c r="K150" s="16" t="s">
        <v>397</v>
      </c>
      <c r="L150" s="16" t="s">
        <v>4656</v>
      </c>
      <c r="M150" s="16" t="s">
        <v>4957</v>
      </c>
      <c r="N150" s="16" t="s">
        <v>4958</v>
      </c>
    </row>
    <row r="151" spans="1:14" ht="39.950000000000003" customHeight="1" x14ac:dyDescent="0.25">
      <c r="A151" s="15" t="s">
        <v>4961</v>
      </c>
      <c r="B151" s="16" t="s">
        <v>57</v>
      </c>
      <c r="C151" s="15">
        <v>8100504</v>
      </c>
      <c r="D151" s="16" t="s">
        <v>58</v>
      </c>
      <c r="E151" s="15" t="s">
        <v>4962</v>
      </c>
      <c r="F151" s="21" t="str">
        <f>HYPERLINK("https://psearch.kitsapgov.com/webappa/index.html?parcelID=1717065&amp;Theme=Imagery","1717065")</f>
        <v>1717065</v>
      </c>
      <c r="G151" s="16" t="s">
        <v>4963</v>
      </c>
      <c r="H151" s="17">
        <v>42426</v>
      </c>
      <c r="I151" s="18">
        <v>315000</v>
      </c>
      <c r="J151" s="19">
        <v>0.04</v>
      </c>
      <c r="K151" s="16" t="s">
        <v>78</v>
      </c>
      <c r="L151" s="16" t="s">
        <v>20</v>
      </c>
      <c r="M151" s="16" t="s">
        <v>4964</v>
      </c>
      <c r="N151" s="16" t="s">
        <v>4760</v>
      </c>
    </row>
    <row r="152" spans="1:14" ht="20.100000000000001" customHeight="1" x14ac:dyDescent="0.25">
      <c r="A152" s="15" t="s">
        <v>4961</v>
      </c>
      <c r="B152" s="16" t="s">
        <v>347</v>
      </c>
      <c r="C152" s="15">
        <v>8100504</v>
      </c>
      <c r="D152" s="16" t="s">
        <v>58</v>
      </c>
      <c r="E152" s="15" t="s">
        <v>4965</v>
      </c>
      <c r="F152" s="21" t="str">
        <f>HYPERLINK("https://psearch.kitsapgov.com/webappa/index.html?parcelID=1717073&amp;Theme=Imagery","1717073")</f>
        <v>1717073</v>
      </c>
      <c r="G152" s="16" t="s">
        <v>4966</v>
      </c>
      <c r="H152" s="17">
        <v>42426</v>
      </c>
      <c r="I152" s="18">
        <v>315000</v>
      </c>
      <c r="J152" s="19">
        <v>0.11</v>
      </c>
      <c r="K152" s="16" t="s">
        <v>78</v>
      </c>
      <c r="L152" s="16" t="s">
        <v>20</v>
      </c>
      <c r="M152" s="16" t="s">
        <v>4964</v>
      </c>
      <c r="N152" s="16" t="s">
        <v>4760</v>
      </c>
    </row>
    <row r="153" spans="1:14" ht="39.950000000000003" customHeight="1" x14ac:dyDescent="0.25">
      <c r="A153" s="15" t="s">
        <v>4967</v>
      </c>
      <c r="B153" s="16" t="s">
        <v>381</v>
      </c>
      <c r="C153" s="15">
        <v>9303604</v>
      </c>
      <c r="D153" s="16" t="s">
        <v>967</v>
      </c>
      <c r="E153" s="15" t="s">
        <v>4968</v>
      </c>
      <c r="F153" s="21" t="str">
        <f>HYPERLINK("https://psearch.kitsapgov.com/webappa/index.html?parcelID=2567444&amp;Theme=Imagery","2567444")</f>
        <v>2567444</v>
      </c>
      <c r="G153" s="16" t="s">
        <v>4969</v>
      </c>
      <c r="H153" s="17">
        <v>42404</v>
      </c>
      <c r="I153" s="18">
        <v>5200000</v>
      </c>
      <c r="J153" s="19">
        <v>0.15</v>
      </c>
      <c r="K153" s="16" t="s">
        <v>3010</v>
      </c>
      <c r="L153" s="16" t="s">
        <v>4645</v>
      </c>
      <c r="M153" s="16" t="s">
        <v>206</v>
      </c>
      <c r="N153" s="16" t="s">
        <v>4970</v>
      </c>
    </row>
    <row r="154" spans="1:14" ht="20.100000000000001" customHeight="1" x14ac:dyDescent="0.25">
      <c r="A154" s="15" t="s">
        <v>4967</v>
      </c>
      <c r="B154" s="16" t="s">
        <v>381</v>
      </c>
      <c r="C154" s="15">
        <v>9303604</v>
      </c>
      <c r="D154" s="16" t="s">
        <v>967</v>
      </c>
      <c r="E154" s="15" t="s">
        <v>4971</v>
      </c>
      <c r="F154" s="21" t="str">
        <f>HYPERLINK("https://psearch.kitsapgov.com/webappa/index.html?parcelID=2567451&amp;Theme=Imagery","2567451")</f>
        <v>2567451</v>
      </c>
      <c r="G154" s="16" t="s">
        <v>4972</v>
      </c>
      <c r="H154" s="17">
        <v>42404</v>
      </c>
      <c r="I154" s="18">
        <v>5200000</v>
      </c>
      <c r="J154" s="19">
        <v>0.14000000000000001</v>
      </c>
      <c r="K154" s="16" t="s">
        <v>3010</v>
      </c>
      <c r="L154" s="16" t="s">
        <v>4645</v>
      </c>
      <c r="M154" s="16" t="s">
        <v>206</v>
      </c>
      <c r="N154" s="16" t="s">
        <v>4970</v>
      </c>
    </row>
    <row r="155" spans="1:14" ht="39.950000000000003" customHeight="1" x14ac:dyDescent="0.25">
      <c r="A155" s="15" t="s">
        <v>4973</v>
      </c>
      <c r="B155" s="16" t="s">
        <v>57</v>
      </c>
      <c r="C155" s="15">
        <v>8100505</v>
      </c>
      <c r="D155" s="16" t="s">
        <v>17</v>
      </c>
      <c r="E155" s="15" t="s">
        <v>4974</v>
      </c>
      <c r="F155" s="21" t="str">
        <f>HYPERLINK("https://psearch.kitsapgov.com/webappa/index.html?parcelID=1490580&amp;Theme=Imagery","1490580")</f>
        <v>1490580</v>
      </c>
      <c r="G155" s="16" t="s">
        <v>4975</v>
      </c>
      <c r="H155" s="17">
        <v>42424</v>
      </c>
      <c r="I155" s="18">
        <v>76000</v>
      </c>
      <c r="J155" s="19">
        <v>0.18</v>
      </c>
      <c r="K155" s="16" t="s">
        <v>457</v>
      </c>
      <c r="L155" s="16" t="s">
        <v>4645</v>
      </c>
      <c r="M155" s="16" t="s">
        <v>4976</v>
      </c>
      <c r="N155" s="16" t="s">
        <v>4977</v>
      </c>
    </row>
    <row r="156" spans="1:14" ht="20.100000000000001" customHeight="1" x14ac:dyDescent="0.25">
      <c r="A156" s="15" t="s">
        <v>4973</v>
      </c>
      <c r="B156" s="16" t="s">
        <v>57</v>
      </c>
      <c r="C156" s="15">
        <v>8100505</v>
      </c>
      <c r="D156" s="16" t="s">
        <v>17</v>
      </c>
      <c r="E156" s="15" t="s">
        <v>4978</v>
      </c>
      <c r="F156" s="21" t="str">
        <f>HYPERLINK("https://psearch.kitsapgov.com/webappa/index.html?parcelID=1490598&amp;Theme=Imagery","1490598")</f>
        <v>1490598</v>
      </c>
      <c r="G156" s="16" t="s">
        <v>4979</v>
      </c>
      <c r="H156" s="17">
        <v>42424</v>
      </c>
      <c r="I156" s="18">
        <v>76000</v>
      </c>
      <c r="J156" s="19">
        <v>0.17</v>
      </c>
      <c r="K156" s="16" t="s">
        <v>457</v>
      </c>
      <c r="L156" s="16" t="s">
        <v>4645</v>
      </c>
      <c r="M156" s="16" t="s">
        <v>4976</v>
      </c>
      <c r="N156" s="16" t="s">
        <v>4977</v>
      </c>
    </row>
    <row r="157" spans="1:14" ht="39.950000000000003" customHeight="1" x14ac:dyDescent="0.25">
      <c r="A157" s="15" t="s">
        <v>4980</v>
      </c>
      <c r="B157" s="16" t="s">
        <v>393</v>
      </c>
      <c r="C157" s="15">
        <v>9100543</v>
      </c>
      <c r="D157" s="16" t="s">
        <v>807</v>
      </c>
      <c r="E157" s="15" t="s">
        <v>4981</v>
      </c>
      <c r="F157" s="21" t="str">
        <f>HYPERLINK("https://psearch.kitsapgov.com/webappa/index.html?parcelID=2212389&amp;Theme=Imagery","2212389")</f>
        <v>2212389</v>
      </c>
      <c r="G157" s="16" t="s">
        <v>4982</v>
      </c>
      <c r="H157" s="17">
        <v>42438</v>
      </c>
      <c r="I157" s="18">
        <v>13000000</v>
      </c>
      <c r="J157" s="19">
        <v>4.92</v>
      </c>
      <c r="K157" s="16" t="s">
        <v>1070</v>
      </c>
      <c r="L157" s="16" t="s">
        <v>4645</v>
      </c>
      <c r="M157" s="16" t="s">
        <v>4983</v>
      </c>
      <c r="N157" s="16" t="s">
        <v>4984</v>
      </c>
    </row>
    <row r="158" spans="1:14" ht="20.100000000000001" customHeight="1" x14ac:dyDescent="0.25">
      <c r="A158" s="15" t="s">
        <v>4980</v>
      </c>
      <c r="B158" s="16" t="s">
        <v>57</v>
      </c>
      <c r="C158" s="15">
        <v>7100543</v>
      </c>
      <c r="D158" s="16" t="s">
        <v>4985</v>
      </c>
      <c r="E158" s="15" t="s">
        <v>4986</v>
      </c>
      <c r="F158" s="21" t="str">
        <f>HYPERLINK("https://psearch.kitsapgov.com/webappa/index.html?parcelID=2212405&amp;Theme=Imagery","2212405")</f>
        <v>2212405</v>
      </c>
      <c r="G158" s="16" t="s">
        <v>4987</v>
      </c>
      <c r="H158" s="17">
        <v>42438</v>
      </c>
      <c r="I158" s="18">
        <v>13000000</v>
      </c>
      <c r="J158" s="19">
        <v>2.0099999999999998</v>
      </c>
      <c r="K158" s="16" t="s">
        <v>4988</v>
      </c>
      <c r="L158" s="16" t="s">
        <v>4645</v>
      </c>
      <c r="M158" s="16" t="s">
        <v>4983</v>
      </c>
      <c r="N158" s="16" t="s">
        <v>4984</v>
      </c>
    </row>
    <row r="159" spans="1:14" ht="20.100000000000001" customHeight="1" x14ac:dyDescent="0.25">
      <c r="A159" s="15" t="s">
        <v>4980</v>
      </c>
      <c r="B159" s="16" t="s">
        <v>57</v>
      </c>
      <c r="C159" s="15">
        <v>9100543</v>
      </c>
      <c r="D159" s="16" t="s">
        <v>807</v>
      </c>
      <c r="E159" s="15" t="s">
        <v>4989</v>
      </c>
      <c r="F159" s="21" t="str">
        <f>HYPERLINK("https://psearch.kitsapgov.com/webappa/index.html?parcelID=2212421&amp;Theme=Imagery","2212421")</f>
        <v>2212421</v>
      </c>
      <c r="G159" s="16" t="s">
        <v>4987</v>
      </c>
      <c r="H159" s="17">
        <v>42438</v>
      </c>
      <c r="I159" s="18">
        <v>13000000</v>
      </c>
      <c r="J159" s="19">
        <v>0.79</v>
      </c>
      <c r="K159" s="16" t="s">
        <v>1070</v>
      </c>
      <c r="L159" s="16" t="s">
        <v>4645</v>
      </c>
      <c r="M159" s="16" t="s">
        <v>4983</v>
      </c>
      <c r="N159" s="16" t="s">
        <v>4984</v>
      </c>
    </row>
    <row r="160" spans="1:14" ht="20.100000000000001" customHeight="1" x14ac:dyDescent="0.25">
      <c r="A160" s="15" t="s">
        <v>4980</v>
      </c>
      <c r="B160" s="16" t="s">
        <v>143</v>
      </c>
      <c r="C160" s="15">
        <v>9100543</v>
      </c>
      <c r="D160" s="16" t="s">
        <v>807</v>
      </c>
      <c r="E160" s="15" t="s">
        <v>4990</v>
      </c>
      <c r="F160" s="21" t="str">
        <f>HYPERLINK("https://psearch.kitsapgov.com/webappa/index.html?parcelID=2212439&amp;Theme=Imagery","2212439")</f>
        <v>2212439</v>
      </c>
      <c r="G160" s="16" t="s">
        <v>4991</v>
      </c>
      <c r="H160" s="17">
        <v>42438</v>
      </c>
      <c r="I160" s="18">
        <v>13000000</v>
      </c>
      <c r="J160" s="19">
        <v>0.39</v>
      </c>
      <c r="K160" s="16" t="s">
        <v>1070</v>
      </c>
      <c r="L160" s="16" t="s">
        <v>4645</v>
      </c>
      <c r="M160" s="16" t="s">
        <v>4983</v>
      </c>
      <c r="N160" s="16" t="s">
        <v>4984</v>
      </c>
    </row>
    <row r="161" spans="1:14" ht="20.100000000000001" customHeight="1" x14ac:dyDescent="0.25">
      <c r="A161" s="15" t="s">
        <v>4980</v>
      </c>
      <c r="B161" s="16" t="s">
        <v>57</v>
      </c>
      <c r="C161" s="15">
        <v>7100543</v>
      </c>
      <c r="D161" s="16" t="s">
        <v>4985</v>
      </c>
      <c r="E161" s="15" t="s">
        <v>4992</v>
      </c>
      <c r="F161" s="21" t="str">
        <f>HYPERLINK("https://psearch.kitsapgov.com/webappa/index.html?parcelID=2212447&amp;Theme=Imagery","2212447")</f>
        <v>2212447</v>
      </c>
      <c r="G161" s="16" t="s">
        <v>4993</v>
      </c>
      <c r="H161" s="17">
        <v>42438</v>
      </c>
      <c r="I161" s="18">
        <v>13000000</v>
      </c>
      <c r="J161" s="19">
        <v>0.3</v>
      </c>
      <c r="K161" s="16" t="s">
        <v>4988</v>
      </c>
      <c r="L161" s="16" t="s">
        <v>4645</v>
      </c>
      <c r="M161" s="16" t="s">
        <v>4983</v>
      </c>
      <c r="N161" s="16" t="s">
        <v>4984</v>
      </c>
    </row>
    <row r="162" spans="1:14" ht="20.100000000000001" customHeight="1" x14ac:dyDescent="0.25">
      <c r="A162" s="15" t="s">
        <v>4980</v>
      </c>
      <c r="B162" s="16" t="s">
        <v>4739</v>
      </c>
      <c r="C162" s="15">
        <v>9100543</v>
      </c>
      <c r="D162" s="16" t="s">
        <v>807</v>
      </c>
      <c r="E162" s="15" t="s">
        <v>4994</v>
      </c>
      <c r="F162" s="21" t="str">
        <f>HYPERLINK("https://psearch.kitsapgov.com/webappa/index.html?parcelID=2212454&amp;Theme=Imagery","2212454")</f>
        <v>2212454</v>
      </c>
      <c r="G162" s="16" t="s">
        <v>4995</v>
      </c>
      <c r="H162" s="17">
        <v>42438</v>
      </c>
      <c r="I162" s="18">
        <v>13000000</v>
      </c>
      <c r="J162" s="19">
        <v>5.09</v>
      </c>
      <c r="L162" s="16" t="s">
        <v>4645</v>
      </c>
      <c r="M162" s="16" t="s">
        <v>4983</v>
      </c>
      <c r="N162" s="16" t="s">
        <v>4984</v>
      </c>
    </row>
    <row r="163" spans="1:14" ht="39.950000000000003" customHeight="1" x14ac:dyDescent="0.25">
      <c r="A163" s="15" t="s">
        <v>4996</v>
      </c>
      <c r="B163" s="16" t="s">
        <v>96</v>
      </c>
      <c r="C163" s="15">
        <v>8303601</v>
      </c>
      <c r="D163" s="16" t="s">
        <v>50</v>
      </c>
      <c r="E163" s="15" t="s">
        <v>4997</v>
      </c>
      <c r="F163" s="21" t="str">
        <f>HYPERLINK("https://psearch.kitsapgov.com/webappa/index.html?parcelID=2078996&amp;Theme=Imagery","2078996")</f>
        <v>2078996</v>
      </c>
      <c r="G163" s="16" t="s">
        <v>4998</v>
      </c>
      <c r="H163" s="17">
        <v>42438</v>
      </c>
      <c r="I163" s="18">
        <v>17503581</v>
      </c>
      <c r="J163" s="19">
        <v>0.86</v>
      </c>
      <c r="K163" s="16" t="s">
        <v>2766</v>
      </c>
      <c r="L163" s="16" t="s">
        <v>4645</v>
      </c>
      <c r="M163" s="16" t="s">
        <v>4999</v>
      </c>
      <c r="N163" s="16" t="s">
        <v>1195</v>
      </c>
    </row>
    <row r="164" spans="1:14" ht="20.100000000000001" customHeight="1" x14ac:dyDescent="0.25">
      <c r="A164" s="15" t="s">
        <v>4996</v>
      </c>
      <c r="B164" s="16" t="s">
        <v>33</v>
      </c>
      <c r="C164" s="15">
        <v>8303601</v>
      </c>
      <c r="D164" s="16" t="s">
        <v>50</v>
      </c>
      <c r="E164" s="15" t="s">
        <v>5000</v>
      </c>
      <c r="F164" s="21" t="str">
        <f>HYPERLINK("https://psearch.kitsapgov.com/webappa/index.html?parcelID=2079002&amp;Theme=Imagery","2079002")</f>
        <v>2079002</v>
      </c>
      <c r="G164" s="16" t="s">
        <v>5001</v>
      </c>
      <c r="H164" s="17">
        <v>42438</v>
      </c>
      <c r="I164" s="18">
        <v>17503581</v>
      </c>
      <c r="J164" s="19">
        <v>1.64</v>
      </c>
      <c r="K164" s="16" t="s">
        <v>2766</v>
      </c>
      <c r="L164" s="16" t="s">
        <v>4645</v>
      </c>
      <c r="M164" s="16" t="s">
        <v>4999</v>
      </c>
      <c r="N164" s="16" t="s">
        <v>1195</v>
      </c>
    </row>
    <row r="165" spans="1:14" ht="20.100000000000001" customHeight="1" x14ac:dyDescent="0.25">
      <c r="A165" s="15" t="s">
        <v>4996</v>
      </c>
      <c r="B165" s="16" t="s">
        <v>33</v>
      </c>
      <c r="C165" s="15">
        <v>8303601</v>
      </c>
      <c r="D165" s="16" t="s">
        <v>50</v>
      </c>
      <c r="E165" s="15" t="s">
        <v>5002</v>
      </c>
      <c r="F165" s="21" t="str">
        <f>HYPERLINK("https://psearch.kitsapgov.com/webappa/index.html?parcelID=2417400&amp;Theme=Imagery","2417400")</f>
        <v>2417400</v>
      </c>
      <c r="G165" s="16" t="s">
        <v>5003</v>
      </c>
      <c r="H165" s="17">
        <v>42438</v>
      </c>
      <c r="I165" s="18">
        <v>17503581</v>
      </c>
      <c r="J165" s="19">
        <v>1.33</v>
      </c>
      <c r="K165" s="16" t="s">
        <v>2766</v>
      </c>
      <c r="L165" s="16" t="s">
        <v>4645</v>
      </c>
      <c r="M165" s="16" t="s">
        <v>4999</v>
      </c>
      <c r="N165" s="16" t="s">
        <v>1195</v>
      </c>
    </row>
    <row r="166" spans="1:14" ht="20.100000000000001" customHeight="1" x14ac:dyDescent="0.25">
      <c r="A166" s="15" t="s">
        <v>4996</v>
      </c>
      <c r="B166" s="16" t="s">
        <v>4739</v>
      </c>
      <c r="C166" s="15">
        <v>8303601</v>
      </c>
      <c r="D166" s="16" t="s">
        <v>50</v>
      </c>
      <c r="E166" s="15" t="s">
        <v>5004</v>
      </c>
      <c r="F166" s="21" t="str">
        <f>HYPERLINK("https://psearch.kitsapgov.com/webappa/index.html?parcelID=2417418&amp;Theme=Imagery","2417418")</f>
        <v>2417418</v>
      </c>
      <c r="G166" s="16" t="s">
        <v>5005</v>
      </c>
      <c r="H166" s="17">
        <v>42438</v>
      </c>
      <c r="I166" s="18">
        <v>17503581</v>
      </c>
      <c r="J166" s="19">
        <v>1.03</v>
      </c>
      <c r="K166" s="16" t="s">
        <v>2766</v>
      </c>
      <c r="L166" s="16" t="s">
        <v>4645</v>
      </c>
      <c r="M166" s="16" t="s">
        <v>4999</v>
      </c>
      <c r="N166" s="16" t="s">
        <v>1195</v>
      </c>
    </row>
    <row r="167" spans="1:14" ht="20.100000000000001" customHeight="1" x14ac:dyDescent="0.25">
      <c r="A167" s="15" t="s">
        <v>4996</v>
      </c>
      <c r="B167" s="16" t="s">
        <v>3782</v>
      </c>
      <c r="C167" s="15">
        <v>8303601</v>
      </c>
      <c r="D167" s="16" t="s">
        <v>50</v>
      </c>
      <c r="E167" s="15" t="s">
        <v>5006</v>
      </c>
      <c r="F167" s="21" t="str">
        <f>HYPERLINK("https://psearch.kitsapgov.com/webappa/index.html?parcelID=2538809&amp;Theme=Imagery","2538809")</f>
        <v>2538809</v>
      </c>
      <c r="G167" s="16" t="s">
        <v>5007</v>
      </c>
      <c r="H167" s="17">
        <v>42438</v>
      </c>
      <c r="I167" s="18">
        <v>17503581</v>
      </c>
      <c r="J167" s="19">
        <v>0</v>
      </c>
      <c r="L167" s="16" t="s">
        <v>4645</v>
      </c>
      <c r="M167" s="16" t="s">
        <v>4999</v>
      </c>
      <c r="N167" s="16" t="s">
        <v>1195</v>
      </c>
    </row>
    <row r="168" spans="1:14" ht="20.100000000000001" customHeight="1" x14ac:dyDescent="0.25">
      <c r="A168" s="15" t="s">
        <v>4996</v>
      </c>
      <c r="B168" s="16" t="s">
        <v>3782</v>
      </c>
      <c r="C168" s="15">
        <v>8303601</v>
      </c>
      <c r="D168" s="16" t="s">
        <v>50</v>
      </c>
      <c r="E168" s="15" t="s">
        <v>5008</v>
      </c>
      <c r="F168" s="21" t="str">
        <f>HYPERLINK("https://psearch.kitsapgov.com/webappa/index.html?parcelID=2417426&amp;Theme=Imagery","2417426")</f>
        <v>2417426</v>
      </c>
      <c r="G168" s="16" t="s">
        <v>5009</v>
      </c>
      <c r="H168" s="17">
        <v>42438</v>
      </c>
      <c r="I168" s="18">
        <v>17503581</v>
      </c>
      <c r="J168" s="19">
        <v>0</v>
      </c>
      <c r="K168" s="16" t="s">
        <v>2766</v>
      </c>
      <c r="L168" s="16" t="s">
        <v>4645</v>
      </c>
      <c r="M168" s="16" t="s">
        <v>4999</v>
      </c>
      <c r="N168" s="16" t="s">
        <v>1195</v>
      </c>
    </row>
    <row r="169" spans="1:14" ht="20.100000000000001" customHeight="1" x14ac:dyDescent="0.25">
      <c r="A169" s="15" t="s">
        <v>4996</v>
      </c>
      <c r="B169" s="16" t="s">
        <v>33</v>
      </c>
      <c r="C169" s="15">
        <v>8303601</v>
      </c>
      <c r="D169" s="16" t="s">
        <v>50</v>
      </c>
      <c r="E169" s="15" t="s">
        <v>5010</v>
      </c>
      <c r="F169" s="21" t="str">
        <f>HYPERLINK("https://psearch.kitsapgov.com/webappa/index.html?parcelID=2417434&amp;Theme=Imagery","2417434")</f>
        <v>2417434</v>
      </c>
      <c r="G169" s="16" t="s">
        <v>5011</v>
      </c>
      <c r="H169" s="17">
        <v>42438</v>
      </c>
      <c r="I169" s="18">
        <v>17503581</v>
      </c>
      <c r="J169" s="19">
        <v>0</v>
      </c>
      <c r="K169" s="16" t="s">
        <v>2766</v>
      </c>
      <c r="L169" s="16" t="s">
        <v>4645</v>
      </c>
      <c r="M169" s="16" t="s">
        <v>4999</v>
      </c>
      <c r="N169" s="16" t="s">
        <v>1195</v>
      </c>
    </row>
    <row r="170" spans="1:14" ht="39.950000000000003" customHeight="1" x14ac:dyDescent="0.25">
      <c r="A170" s="15" t="s">
        <v>5012</v>
      </c>
      <c r="B170" s="16" t="s">
        <v>96</v>
      </c>
      <c r="C170" s="15">
        <v>8400202</v>
      </c>
      <c r="D170" s="16" t="s">
        <v>158</v>
      </c>
      <c r="E170" s="15" t="s">
        <v>5013</v>
      </c>
      <c r="F170" s="21" t="str">
        <f>HYPERLINK("https://psearch.kitsapgov.com/webappa/index.html?parcelID=2063048&amp;Theme=Imagery","2063048")</f>
        <v>2063048</v>
      </c>
      <c r="G170" s="16" t="s">
        <v>5014</v>
      </c>
      <c r="H170" s="17">
        <v>42438</v>
      </c>
      <c r="I170" s="18">
        <v>5929494</v>
      </c>
      <c r="J170" s="19">
        <v>1.43</v>
      </c>
      <c r="K170" s="16" t="s">
        <v>100</v>
      </c>
      <c r="L170" s="16" t="s">
        <v>4645</v>
      </c>
      <c r="M170" s="16" t="s">
        <v>5015</v>
      </c>
      <c r="N170" s="16" t="s">
        <v>1195</v>
      </c>
    </row>
    <row r="171" spans="1:14" ht="20.100000000000001" customHeight="1" x14ac:dyDescent="0.25">
      <c r="A171" s="15" t="s">
        <v>5012</v>
      </c>
      <c r="B171" s="16" t="s">
        <v>96</v>
      </c>
      <c r="C171" s="15">
        <v>8400202</v>
      </c>
      <c r="D171" s="16" t="s">
        <v>158</v>
      </c>
      <c r="E171" s="15" t="s">
        <v>5016</v>
      </c>
      <c r="F171" s="21" t="str">
        <f>HYPERLINK("https://psearch.kitsapgov.com/webappa/index.html?parcelID=2149458&amp;Theme=Imagery","2149458")</f>
        <v>2149458</v>
      </c>
      <c r="G171" s="16" t="s">
        <v>5017</v>
      </c>
      <c r="H171" s="17">
        <v>42438</v>
      </c>
      <c r="I171" s="18">
        <v>5929494</v>
      </c>
      <c r="J171" s="19">
        <v>0.6</v>
      </c>
      <c r="K171" s="16" t="s">
        <v>100</v>
      </c>
      <c r="L171" s="16" t="s">
        <v>4645</v>
      </c>
      <c r="M171" s="16" t="s">
        <v>5015</v>
      </c>
      <c r="N171" s="16" t="s">
        <v>1195</v>
      </c>
    </row>
    <row r="172" spans="1:14" ht="39.950000000000003" customHeight="1" x14ac:dyDescent="0.25">
      <c r="A172" s="15" t="s">
        <v>5018</v>
      </c>
      <c r="B172" s="16" t="s">
        <v>628</v>
      </c>
      <c r="C172" s="15">
        <v>8401104</v>
      </c>
      <c r="D172" s="16" t="s">
        <v>144</v>
      </c>
      <c r="E172" s="15" t="s">
        <v>5019</v>
      </c>
      <c r="F172" s="21" t="str">
        <f>HYPERLINK("https://psearch.kitsapgov.com/webappa/index.html?parcelID=1911718&amp;Theme=Imagery","1911718")</f>
        <v>1911718</v>
      </c>
      <c r="G172" s="16" t="s">
        <v>5020</v>
      </c>
      <c r="H172" s="17">
        <v>42466</v>
      </c>
      <c r="I172" s="18">
        <v>375000</v>
      </c>
      <c r="J172" s="19">
        <v>3</v>
      </c>
      <c r="K172" s="16" t="s">
        <v>78</v>
      </c>
      <c r="L172" s="16" t="s">
        <v>856</v>
      </c>
      <c r="M172" s="16" t="s">
        <v>5021</v>
      </c>
      <c r="N172" s="16" t="s">
        <v>5022</v>
      </c>
    </row>
    <row r="173" spans="1:14" ht="20.100000000000001" customHeight="1" x14ac:dyDescent="0.25">
      <c r="A173" s="15" t="s">
        <v>5018</v>
      </c>
      <c r="B173" s="16" t="s">
        <v>628</v>
      </c>
      <c r="C173" s="15">
        <v>8401104</v>
      </c>
      <c r="D173" s="16" t="s">
        <v>144</v>
      </c>
      <c r="E173" s="15" t="s">
        <v>5023</v>
      </c>
      <c r="F173" s="21" t="str">
        <f>HYPERLINK("https://psearch.kitsapgov.com/webappa/index.html?parcelID=1947514&amp;Theme=Imagery","1947514")</f>
        <v>1947514</v>
      </c>
      <c r="G173" s="16" t="s">
        <v>5024</v>
      </c>
      <c r="H173" s="17">
        <v>42466</v>
      </c>
      <c r="I173" s="18">
        <v>375000</v>
      </c>
      <c r="J173" s="19">
        <v>1.56</v>
      </c>
      <c r="K173" s="16" t="s">
        <v>78</v>
      </c>
      <c r="L173" s="16" t="s">
        <v>856</v>
      </c>
      <c r="M173" s="16" t="s">
        <v>5021</v>
      </c>
      <c r="N173" s="16" t="s">
        <v>5022</v>
      </c>
    </row>
    <row r="174" spans="1:14" ht="39.950000000000003" customHeight="1" x14ac:dyDescent="0.25">
      <c r="A174" s="15" t="s">
        <v>5025</v>
      </c>
      <c r="B174" s="16" t="s">
        <v>89</v>
      </c>
      <c r="C174" s="15">
        <v>8401101</v>
      </c>
      <c r="D174" s="16" t="s">
        <v>185</v>
      </c>
      <c r="E174" s="15" t="s">
        <v>5026</v>
      </c>
      <c r="F174" s="21" t="str">
        <f>HYPERLINK("https://psearch.kitsapgov.com/webappa/index.html?parcelID=1224088&amp;Theme=Imagery","1224088")</f>
        <v>1224088</v>
      </c>
      <c r="G174" s="16" t="s">
        <v>5027</v>
      </c>
      <c r="H174" s="17">
        <v>42473</v>
      </c>
      <c r="I174" s="18">
        <v>600000</v>
      </c>
      <c r="J174" s="19">
        <v>0.34</v>
      </c>
      <c r="K174" s="16" t="s">
        <v>78</v>
      </c>
      <c r="L174" s="16" t="s">
        <v>4645</v>
      </c>
      <c r="M174" s="16" t="s">
        <v>3583</v>
      </c>
      <c r="N174" s="16" t="s">
        <v>5028</v>
      </c>
    </row>
    <row r="175" spans="1:14" ht="20.100000000000001" customHeight="1" x14ac:dyDescent="0.25">
      <c r="A175" s="15" t="s">
        <v>5025</v>
      </c>
      <c r="B175" s="16" t="s">
        <v>57</v>
      </c>
      <c r="C175" s="15">
        <v>8401101</v>
      </c>
      <c r="D175" s="16" t="s">
        <v>185</v>
      </c>
      <c r="E175" s="15" t="s">
        <v>5029</v>
      </c>
      <c r="F175" s="21" t="str">
        <f>HYPERLINK("https://psearch.kitsapgov.com/webappa/index.html?parcelID=1224203&amp;Theme=Imagery","1224203")</f>
        <v>1224203</v>
      </c>
      <c r="G175" s="16" t="s">
        <v>5030</v>
      </c>
      <c r="H175" s="17">
        <v>42473</v>
      </c>
      <c r="I175" s="18">
        <v>600000</v>
      </c>
      <c r="J175" s="19">
        <v>1</v>
      </c>
      <c r="K175" s="16" t="s">
        <v>78</v>
      </c>
      <c r="L175" s="16" t="s">
        <v>4645</v>
      </c>
      <c r="M175" s="16" t="s">
        <v>3583</v>
      </c>
      <c r="N175" s="16" t="s">
        <v>5028</v>
      </c>
    </row>
    <row r="176" spans="1:14" ht="39.950000000000003" customHeight="1" x14ac:dyDescent="0.25">
      <c r="A176" s="15" t="s">
        <v>5031</v>
      </c>
      <c r="B176" s="16" t="s">
        <v>57</v>
      </c>
      <c r="C176" s="15">
        <v>7401591</v>
      </c>
      <c r="D176" s="16" t="s">
        <v>1960</v>
      </c>
      <c r="E176" s="15" t="s">
        <v>5032</v>
      </c>
      <c r="F176" s="21" t="str">
        <f>HYPERLINK("https://psearch.kitsapgov.com/webappa/index.html?parcelID=2538627&amp;Theme=Imagery","2538627")</f>
        <v>2538627</v>
      </c>
      <c r="G176" s="16" t="s">
        <v>107</v>
      </c>
      <c r="H176" s="17">
        <v>42499</v>
      </c>
      <c r="I176" s="18">
        <v>369950</v>
      </c>
      <c r="J176" s="19">
        <v>10.02</v>
      </c>
      <c r="K176" s="16" t="s">
        <v>4751</v>
      </c>
      <c r="L176" s="16" t="s">
        <v>4645</v>
      </c>
      <c r="M176" s="16" t="s">
        <v>5033</v>
      </c>
      <c r="N176" s="16" t="s">
        <v>5034</v>
      </c>
    </row>
    <row r="177" spans="1:14" ht="20.100000000000001" customHeight="1" x14ac:dyDescent="0.25">
      <c r="A177" s="15" t="s">
        <v>5031</v>
      </c>
      <c r="B177" s="16" t="s">
        <v>49</v>
      </c>
      <c r="C177" s="15">
        <v>9401591</v>
      </c>
      <c r="D177" s="16" t="s">
        <v>1960</v>
      </c>
      <c r="E177" s="15" t="s">
        <v>5035</v>
      </c>
      <c r="F177" s="21" t="str">
        <f>HYPERLINK("https://psearch.kitsapgov.com/webappa/index.html?parcelID=2538635&amp;Theme=Imagery","2538635")</f>
        <v>2538635</v>
      </c>
      <c r="G177" s="16" t="s">
        <v>5036</v>
      </c>
      <c r="H177" s="17">
        <v>42499</v>
      </c>
      <c r="I177" s="18">
        <v>369950</v>
      </c>
      <c r="J177" s="19">
        <v>1.87</v>
      </c>
      <c r="K177" s="16" t="s">
        <v>78</v>
      </c>
      <c r="L177" s="16" t="s">
        <v>4645</v>
      </c>
      <c r="M177" s="16" t="s">
        <v>5033</v>
      </c>
      <c r="N177" s="16" t="s">
        <v>5034</v>
      </c>
    </row>
    <row r="178" spans="1:14" ht="39.950000000000003" customHeight="1" x14ac:dyDescent="0.25">
      <c r="A178" s="15" t="s">
        <v>5037</v>
      </c>
      <c r="B178" s="16" t="s">
        <v>286</v>
      </c>
      <c r="C178" s="15">
        <v>8303660</v>
      </c>
      <c r="D178" s="16" t="s">
        <v>313</v>
      </c>
      <c r="E178" s="15" t="s">
        <v>5038</v>
      </c>
      <c r="F178" s="21" t="str">
        <f>HYPERLINK("https://psearch.kitsapgov.com/webappa/index.html?parcelID=1880590&amp;Theme=Imagery","1880590")</f>
        <v>1880590</v>
      </c>
      <c r="G178" s="16" t="s">
        <v>5039</v>
      </c>
      <c r="H178" s="17">
        <v>42515</v>
      </c>
      <c r="I178" s="18">
        <v>2800000</v>
      </c>
      <c r="J178" s="19">
        <v>0</v>
      </c>
      <c r="L178" s="16" t="s">
        <v>4645</v>
      </c>
      <c r="M178" s="16" t="s">
        <v>5040</v>
      </c>
      <c r="N178" s="16" t="s">
        <v>1459</v>
      </c>
    </row>
    <row r="179" spans="1:14" ht="20.100000000000001" customHeight="1" x14ac:dyDescent="0.25">
      <c r="A179" s="15" t="s">
        <v>5037</v>
      </c>
      <c r="B179" s="16" t="s">
        <v>286</v>
      </c>
      <c r="C179" s="15">
        <v>8303660</v>
      </c>
      <c r="D179" s="16" t="s">
        <v>313</v>
      </c>
      <c r="E179" s="15" t="s">
        <v>5041</v>
      </c>
      <c r="F179" s="21" t="str">
        <f>HYPERLINK("https://psearch.kitsapgov.com/webappa/index.html?parcelID=1880608&amp;Theme=Imagery","1880608")</f>
        <v>1880608</v>
      </c>
      <c r="G179" s="16" t="s">
        <v>5042</v>
      </c>
      <c r="H179" s="17">
        <v>42515</v>
      </c>
      <c r="I179" s="18">
        <v>2800000</v>
      </c>
      <c r="J179" s="19">
        <v>0</v>
      </c>
      <c r="L179" s="16" t="s">
        <v>4645</v>
      </c>
      <c r="M179" s="16" t="s">
        <v>5040</v>
      </c>
      <c r="N179" s="16" t="s">
        <v>1459</v>
      </c>
    </row>
    <row r="180" spans="1:14" ht="20.100000000000001" customHeight="1" x14ac:dyDescent="0.25">
      <c r="A180" s="15" t="s">
        <v>5037</v>
      </c>
      <c r="B180" s="16" t="s">
        <v>286</v>
      </c>
      <c r="C180" s="15">
        <v>8303660</v>
      </c>
      <c r="D180" s="16" t="s">
        <v>313</v>
      </c>
      <c r="E180" s="15" t="s">
        <v>5043</v>
      </c>
      <c r="F180" s="21" t="str">
        <f>HYPERLINK("https://psearch.kitsapgov.com/webappa/index.html?parcelID=1880616&amp;Theme=Imagery","1880616")</f>
        <v>1880616</v>
      </c>
      <c r="G180" s="16" t="s">
        <v>5044</v>
      </c>
      <c r="H180" s="17">
        <v>42515</v>
      </c>
      <c r="I180" s="18">
        <v>2800000</v>
      </c>
      <c r="J180" s="19">
        <v>0</v>
      </c>
      <c r="L180" s="16" t="s">
        <v>4645</v>
      </c>
      <c r="M180" s="16" t="s">
        <v>5040</v>
      </c>
      <c r="N180" s="16" t="s">
        <v>1459</v>
      </c>
    </row>
    <row r="181" spans="1:14" ht="20.100000000000001" customHeight="1" x14ac:dyDescent="0.25">
      <c r="A181" s="15" t="s">
        <v>5037</v>
      </c>
      <c r="B181" s="16" t="s">
        <v>286</v>
      </c>
      <c r="C181" s="15">
        <v>8303660</v>
      </c>
      <c r="D181" s="16" t="s">
        <v>313</v>
      </c>
      <c r="E181" s="15" t="s">
        <v>5045</v>
      </c>
      <c r="F181" s="21" t="str">
        <f>HYPERLINK("https://psearch.kitsapgov.com/webappa/index.html?parcelID=1880624&amp;Theme=Imagery","1880624")</f>
        <v>1880624</v>
      </c>
      <c r="G181" s="16" t="s">
        <v>5046</v>
      </c>
      <c r="H181" s="17">
        <v>42515</v>
      </c>
      <c r="I181" s="18">
        <v>2800000</v>
      </c>
      <c r="J181" s="19">
        <v>0</v>
      </c>
      <c r="L181" s="16" t="s">
        <v>4645</v>
      </c>
      <c r="M181" s="16" t="s">
        <v>5040</v>
      </c>
      <c r="N181" s="16" t="s">
        <v>1459</v>
      </c>
    </row>
    <row r="182" spans="1:14" ht="20.100000000000001" customHeight="1" x14ac:dyDescent="0.25">
      <c r="A182" s="15" t="s">
        <v>5037</v>
      </c>
      <c r="B182" s="16" t="s">
        <v>286</v>
      </c>
      <c r="C182" s="15">
        <v>8303660</v>
      </c>
      <c r="D182" s="16" t="s">
        <v>313</v>
      </c>
      <c r="E182" s="15" t="s">
        <v>5047</v>
      </c>
      <c r="F182" s="21" t="str">
        <f>HYPERLINK("https://psearch.kitsapgov.com/webappa/index.html?parcelID=1880632&amp;Theme=Imagery","1880632")</f>
        <v>1880632</v>
      </c>
      <c r="G182" s="16" t="s">
        <v>5042</v>
      </c>
      <c r="H182" s="17">
        <v>42515</v>
      </c>
      <c r="I182" s="18">
        <v>2800000</v>
      </c>
      <c r="J182" s="19">
        <v>0</v>
      </c>
      <c r="L182" s="16" t="s">
        <v>4645</v>
      </c>
      <c r="M182" s="16" t="s">
        <v>5040</v>
      </c>
      <c r="N182" s="16" t="s">
        <v>1459</v>
      </c>
    </row>
    <row r="183" spans="1:14" ht="20.100000000000001" customHeight="1" x14ac:dyDescent="0.25">
      <c r="A183" s="15" t="s">
        <v>5037</v>
      </c>
      <c r="B183" s="16" t="s">
        <v>286</v>
      </c>
      <c r="C183" s="15">
        <v>8303660</v>
      </c>
      <c r="D183" s="16" t="s">
        <v>313</v>
      </c>
      <c r="E183" s="15" t="s">
        <v>5048</v>
      </c>
      <c r="F183" s="21" t="str">
        <f>HYPERLINK("https://psearch.kitsapgov.com/webappa/index.html?parcelID=1880640&amp;Theme=Imagery","1880640")</f>
        <v>1880640</v>
      </c>
      <c r="G183" s="16" t="s">
        <v>5049</v>
      </c>
      <c r="H183" s="17">
        <v>42515</v>
      </c>
      <c r="I183" s="18">
        <v>2800000</v>
      </c>
      <c r="J183" s="19">
        <v>0</v>
      </c>
      <c r="L183" s="16" t="s">
        <v>4645</v>
      </c>
      <c r="M183" s="16" t="s">
        <v>5040</v>
      </c>
      <c r="N183" s="16" t="s">
        <v>1459</v>
      </c>
    </row>
    <row r="184" spans="1:14" ht="20.100000000000001" customHeight="1" x14ac:dyDescent="0.25">
      <c r="A184" s="15" t="s">
        <v>5037</v>
      </c>
      <c r="B184" s="16" t="s">
        <v>286</v>
      </c>
      <c r="C184" s="15">
        <v>8303660</v>
      </c>
      <c r="D184" s="16" t="s">
        <v>313</v>
      </c>
      <c r="E184" s="15" t="s">
        <v>5050</v>
      </c>
      <c r="F184" s="21" t="str">
        <f>HYPERLINK("https://psearch.kitsapgov.com/webappa/index.html?parcelID=1880657&amp;Theme=Imagery","1880657")</f>
        <v>1880657</v>
      </c>
      <c r="G184" s="16" t="s">
        <v>5051</v>
      </c>
      <c r="H184" s="17">
        <v>42515</v>
      </c>
      <c r="I184" s="18">
        <v>2800000</v>
      </c>
      <c r="J184" s="19">
        <v>0</v>
      </c>
      <c r="L184" s="16" t="s">
        <v>4645</v>
      </c>
      <c r="M184" s="16" t="s">
        <v>5040</v>
      </c>
      <c r="N184" s="16" t="s">
        <v>1459</v>
      </c>
    </row>
    <row r="185" spans="1:14" ht="20.100000000000001" customHeight="1" x14ac:dyDescent="0.25">
      <c r="A185" s="15" t="s">
        <v>5037</v>
      </c>
      <c r="B185" s="16" t="s">
        <v>286</v>
      </c>
      <c r="C185" s="15">
        <v>8303660</v>
      </c>
      <c r="D185" s="16" t="s">
        <v>313</v>
      </c>
      <c r="E185" s="15" t="s">
        <v>5052</v>
      </c>
      <c r="F185" s="21" t="str">
        <f>HYPERLINK("https://psearch.kitsapgov.com/webappa/index.html?parcelID=1880673&amp;Theme=Imagery","1880673")</f>
        <v>1880673</v>
      </c>
      <c r="G185" s="16" t="s">
        <v>5053</v>
      </c>
      <c r="H185" s="17">
        <v>42515</v>
      </c>
      <c r="I185" s="18">
        <v>2800000</v>
      </c>
      <c r="J185" s="19">
        <v>0</v>
      </c>
      <c r="L185" s="16" t="s">
        <v>4645</v>
      </c>
      <c r="M185" s="16" t="s">
        <v>5040</v>
      </c>
      <c r="N185" s="16" t="s">
        <v>1459</v>
      </c>
    </row>
    <row r="186" spans="1:14" ht="20.100000000000001" customHeight="1" x14ac:dyDescent="0.25">
      <c r="A186" s="15" t="s">
        <v>5037</v>
      </c>
      <c r="B186" s="16" t="s">
        <v>286</v>
      </c>
      <c r="C186" s="15">
        <v>8303660</v>
      </c>
      <c r="D186" s="16" t="s">
        <v>313</v>
      </c>
      <c r="E186" s="15" t="s">
        <v>5054</v>
      </c>
      <c r="F186" s="21" t="str">
        <f>HYPERLINK("https://psearch.kitsapgov.com/webappa/index.html?parcelID=1880681&amp;Theme=Imagery","1880681")</f>
        <v>1880681</v>
      </c>
      <c r="G186" s="16" t="s">
        <v>5055</v>
      </c>
      <c r="H186" s="17">
        <v>42515</v>
      </c>
      <c r="I186" s="18">
        <v>2800000</v>
      </c>
      <c r="J186" s="19">
        <v>0</v>
      </c>
      <c r="L186" s="16" t="s">
        <v>4645</v>
      </c>
      <c r="M186" s="16" t="s">
        <v>5040</v>
      </c>
      <c r="N186" s="16" t="s">
        <v>1459</v>
      </c>
    </row>
    <row r="187" spans="1:14" ht="20.100000000000001" customHeight="1" x14ac:dyDescent="0.25">
      <c r="A187" s="15" t="s">
        <v>5037</v>
      </c>
      <c r="B187" s="16" t="s">
        <v>286</v>
      </c>
      <c r="C187" s="15">
        <v>8303660</v>
      </c>
      <c r="D187" s="16" t="s">
        <v>313</v>
      </c>
      <c r="E187" s="15" t="s">
        <v>5056</v>
      </c>
      <c r="F187" s="21" t="str">
        <f>HYPERLINK("https://psearch.kitsapgov.com/webappa/index.html?parcelID=1880699&amp;Theme=Imagery","1880699")</f>
        <v>1880699</v>
      </c>
      <c r="G187" s="16" t="s">
        <v>5057</v>
      </c>
      <c r="H187" s="17">
        <v>42515</v>
      </c>
      <c r="I187" s="18">
        <v>2800000</v>
      </c>
      <c r="J187" s="19">
        <v>0</v>
      </c>
      <c r="L187" s="16" t="s">
        <v>4645</v>
      </c>
      <c r="M187" s="16" t="s">
        <v>5040</v>
      </c>
      <c r="N187" s="16" t="s">
        <v>1459</v>
      </c>
    </row>
    <row r="188" spans="1:14" ht="20.100000000000001" customHeight="1" x14ac:dyDescent="0.25">
      <c r="A188" s="15" t="s">
        <v>5037</v>
      </c>
      <c r="B188" s="16" t="s">
        <v>286</v>
      </c>
      <c r="C188" s="15">
        <v>8303660</v>
      </c>
      <c r="D188" s="16" t="s">
        <v>313</v>
      </c>
      <c r="E188" s="15" t="s">
        <v>5058</v>
      </c>
      <c r="F188" s="21" t="str">
        <f>HYPERLINK("https://psearch.kitsapgov.com/webappa/index.html?parcelID=1880707&amp;Theme=Imagery","1880707")</f>
        <v>1880707</v>
      </c>
      <c r="G188" s="16" t="s">
        <v>5059</v>
      </c>
      <c r="H188" s="17">
        <v>42515</v>
      </c>
      <c r="I188" s="18">
        <v>2800000</v>
      </c>
      <c r="J188" s="19">
        <v>0</v>
      </c>
      <c r="L188" s="16" t="s">
        <v>4645</v>
      </c>
      <c r="M188" s="16" t="s">
        <v>5040</v>
      </c>
      <c r="N188" s="16" t="s">
        <v>1459</v>
      </c>
    </row>
    <row r="189" spans="1:14" ht="20.100000000000001" customHeight="1" x14ac:dyDescent="0.25">
      <c r="A189" s="15" t="s">
        <v>5037</v>
      </c>
      <c r="B189" s="16" t="s">
        <v>286</v>
      </c>
      <c r="C189" s="15">
        <v>8303660</v>
      </c>
      <c r="D189" s="16" t="s">
        <v>313</v>
      </c>
      <c r="E189" s="15" t="s">
        <v>5060</v>
      </c>
      <c r="F189" s="21" t="str">
        <f>HYPERLINK("https://psearch.kitsapgov.com/webappa/index.html?parcelID=1880715&amp;Theme=Imagery","1880715")</f>
        <v>1880715</v>
      </c>
      <c r="G189" s="16" t="s">
        <v>5061</v>
      </c>
      <c r="H189" s="17">
        <v>42515</v>
      </c>
      <c r="I189" s="18">
        <v>2800000</v>
      </c>
      <c r="J189" s="19">
        <v>0</v>
      </c>
      <c r="L189" s="16" t="s">
        <v>4645</v>
      </c>
      <c r="M189" s="16" t="s">
        <v>5040</v>
      </c>
      <c r="N189" s="16" t="s">
        <v>1459</v>
      </c>
    </row>
    <row r="190" spans="1:14" ht="20.100000000000001" customHeight="1" x14ac:dyDescent="0.25">
      <c r="A190" s="15" t="s">
        <v>5037</v>
      </c>
      <c r="B190" s="16" t="s">
        <v>286</v>
      </c>
      <c r="C190" s="15">
        <v>8303660</v>
      </c>
      <c r="D190" s="16" t="s">
        <v>313</v>
      </c>
      <c r="E190" s="15" t="s">
        <v>5062</v>
      </c>
      <c r="F190" s="21" t="str">
        <f>HYPERLINK("https://psearch.kitsapgov.com/webappa/index.html?parcelID=1880731&amp;Theme=Imagery","1880731")</f>
        <v>1880731</v>
      </c>
      <c r="G190" s="16" t="s">
        <v>5063</v>
      </c>
      <c r="H190" s="17">
        <v>42515</v>
      </c>
      <c r="I190" s="18">
        <v>2800000</v>
      </c>
      <c r="J190" s="19">
        <v>0</v>
      </c>
      <c r="L190" s="16" t="s">
        <v>4645</v>
      </c>
      <c r="M190" s="16" t="s">
        <v>5040</v>
      </c>
      <c r="N190" s="16" t="s">
        <v>1459</v>
      </c>
    </row>
    <row r="191" spans="1:14" ht="20.100000000000001" customHeight="1" x14ac:dyDescent="0.25">
      <c r="A191" s="15" t="s">
        <v>5037</v>
      </c>
      <c r="B191" s="16" t="s">
        <v>286</v>
      </c>
      <c r="C191" s="15">
        <v>8303660</v>
      </c>
      <c r="D191" s="16" t="s">
        <v>313</v>
      </c>
      <c r="E191" s="15" t="s">
        <v>5064</v>
      </c>
      <c r="F191" s="21" t="str">
        <f>HYPERLINK("https://psearch.kitsapgov.com/webappa/index.html?parcelID=1880749&amp;Theme=Imagery","1880749")</f>
        <v>1880749</v>
      </c>
      <c r="G191" s="16" t="s">
        <v>5065</v>
      </c>
      <c r="H191" s="17">
        <v>42515</v>
      </c>
      <c r="I191" s="18">
        <v>2800000</v>
      </c>
      <c r="J191" s="19">
        <v>0</v>
      </c>
      <c r="L191" s="16" t="s">
        <v>4645</v>
      </c>
      <c r="M191" s="16" t="s">
        <v>5040</v>
      </c>
      <c r="N191" s="16" t="s">
        <v>1459</v>
      </c>
    </row>
    <row r="192" spans="1:14" ht="20.100000000000001" customHeight="1" x14ac:dyDescent="0.25">
      <c r="A192" s="15" t="s">
        <v>5037</v>
      </c>
      <c r="B192" s="16" t="s">
        <v>286</v>
      </c>
      <c r="C192" s="15">
        <v>8303660</v>
      </c>
      <c r="D192" s="16" t="s">
        <v>313</v>
      </c>
      <c r="E192" s="15" t="s">
        <v>5066</v>
      </c>
      <c r="F192" s="21" t="str">
        <f>HYPERLINK("https://psearch.kitsapgov.com/webappa/index.html?parcelID=1880756&amp;Theme=Imagery","1880756")</f>
        <v>1880756</v>
      </c>
      <c r="G192" s="16" t="s">
        <v>5067</v>
      </c>
      <c r="H192" s="17">
        <v>42515</v>
      </c>
      <c r="I192" s="18">
        <v>2800000</v>
      </c>
      <c r="J192" s="19">
        <v>0</v>
      </c>
      <c r="L192" s="16" t="s">
        <v>4645</v>
      </c>
      <c r="M192" s="16" t="s">
        <v>5040</v>
      </c>
      <c r="N192" s="16" t="s">
        <v>1459</v>
      </c>
    </row>
    <row r="193" spans="1:14" ht="20.100000000000001" customHeight="1" x14ac:dyDescent="0.25">
      <c r="A193" s="15" t="s">
        <v>5037</v>
      </c>
      <c r="B193" s="16" t="s">
        <v>286</v>
      </c>
      <c r="C193" s="15">
        <v>8303660</v>
      </c>
      <c r="D193" s="16" t="s">
        <v>313</v>
      </c>
      <c r="E193" s="15" t="s">
        <v>5068</v>
      </c>
      <c r="F193" s="21" t="str">
        <f>HYPERLINK("https://psearch.kitsapgov.com/webappa/index.html?parcelID=1880772&amp;Theme=Imagery","1880772")</f>
        <v>1880772</v>
      </c>
      <c r="G193" s="16" t="s">
        <v>5069</v>
      </c>
      <c r="H193" s="17">
        <v>42515</v>
      </c>
      <c r="I193" s="18">
        <v>2800000</v>
      </c>
      <c r="J193" s="19">
        <v>0</v>
      </c>
      <c r="L193" s="16" t="s">
        <v>4645</v>
      </c>
      <c r="M193" s="16" t="s">
        <v>5040</v>
      </c>
      <c r="N193" s="16" t="s">
        <v>1459</v>
      </c>
    </row>
    <row r="194" spans="1:14" ht="20.100000000000001" customHeight="1" x14ac:dyDescent="0.25">
      <c r="A194" s="15" t="s">
        <v>5037</v>
      </c>
      <c r="B194" s="16" t="s">
        <v>286</v>
      </c>
      <c r="C194" s="15">
        <v>8303660</v>
      </c>
      <c r="D194" s="16" t="s">
        <v>313</v>
      </c>
      <c r="E194" s="15" t="s">
        <v>5070</v>
      </c>
      <c r="F194" s="21" t="str">
        <f>HYPERLINK("https://psearch.kitsapgov.com/webappa/index.html?parcelID=1880780&amp;Theme=Imagery","1880780")</f>
        <v>1880780</v>
      </c>
      <c r="G194" s="16" t="s">
        <v>5071</v>
      </c>
      <c r="H194" s="17">
        <v>42515</v>
      </c>
      <c r="I194" s="18">
        <v>2800000</v>
      </c>
      <c r="J194" s="19">
        <v>0</v>
      </c>
      <c r="L194" s="16" t="s">
        <v>4645</v>
      </c>
      <c r="M194" s="16" t="s">
        <v>5040</v>
      </c>
      <c r="N194" s="16" t="s">
        <v>1459</v>
      </c>
    </row>
    <row r="195" spans="1:14" ht="20.100000000000001" customHeight="1" x14ac:dyDescent="0.25">
      <c r="A195" s="15" t="s">
        <v>5037</v>
      </c>
      <c r="B195" s="16" t="s">
        <v>286</v>
      </c>
      <c r="C195" s="15">
        <v>8303660</v>
      </c>
      <c r="D195" s="16" t="s">
        <v>313</v>
      </c>
      <c r="E195" s="15" t="s">
        <v>5072</v>
      </c>
      <c r="F195" s="21" t="str">
        <f>HYPERLINK("https://psearch.kitsapgov.com/webappa/index.html?parcelID=1880798&amp;Theme=Imagery","1880798")</f>
        <v>1880798</v>
      </c>
      <c r="G195" s="16" t="s">
        <v>5073</v>
      </c>
      <c r="H195" s="17">
        <v>42515</v>
      </c>
      <c r="I195" s="18">
        <v>2800000</v>
      </c>
      <c r="J195" s="19">
        <v>0</v>
      </c>
      <c r="L195" s="16" t="s">
        <v>4645</v>
      </c>
      <c r="M195" s="16" t="s">
        <v>5040</v>
      </c>
      <c r="N195" s="16" t="s">
        <v>1459</v>
      </c>
    </row>
    <row r="196" spans="1:14" ht="20.100000000000001" customHeight="1" x14ac:dyDescent="0.25">
      <c r="A196" s="15" t="s">
        <v>5037</v>
      </c>
      <c r="B196" s="16" t="s">
        <v>286</v>
      </c>
      <c r="C196" s="15">
        <v>8303660</v>
      </c>
      <c r="D196" s="16" t="s">
        <v>313</v>
      </c>
      <c r="E196" s="15" t="s">
        <v>5074</v>
      </c>
      <c r="F196" s="21" t="str">
        <f>HYPERLINK("https://psearch.kitsapgov.com/webappa/index.html?parcelID=1880806&amp;Theme=Imagery","1880806")</f>
        <v>1880806</v>
      </c>
      <c r="G196" s="16" t="s">
        <v>5075</v>
      </c>
      <c r="H196" s="17">
        <v>42515</v>
      </c>
      <c r="I196" s="18">
        <v>2800000</v>
      </c>
      <c r="J196" s="19">
        <v>0</v>
      </c>
      <c r="L196" s="16" t="s">
        <v>4645</v>
      </c>
      <c r="M196" s="16" t="s">
        <v>5040</v>
      </c>
      <c r="N196" s="16" t="s">
        <v>1459</v>
      </c>
    </row>
    <row r="197" spans="1:14" ht="20.100000000000001" customHeight="1" x14ac:dyDescent="0.25">
      <c r="A197" s="15" t="s">
        <v>5037</v>
      </c>
      <c r="B197" s="16" t="s">
        <v>286</v>
      </c>
      <c r="C197" s="15">
        <v>8303660</v>
      </c>
      <c r="D197" s="16" t="s">
        <v>313</v>
      </c>
      <c r="E197" s="15" t="s">
        <v>5076</v>
      </c>
      <c r="F197" s="21" t="str">
        <f>HYPERLINK("https://psearch.kitsapgov.com/webappa/index.html?parcelID=1880814&amp;Theme=Imagery","1880814")</f>
        <v>1880814</v>
      </c>
      <c r="G197" s="16" t="s">
        <v>5077</v>
      </c>
      <c r="H197" s="17">
        <v>42515</v>
      </c>
      <c r="I197" s="18">
        <v>2800000</v>
      </c>
      <c r="J197" s="19">
        <v>0</v>
      </c>
      <c r="L197" s="16" t="s">
        <v>4645</v>
      </c>
      <c r="M197" s="16" t="s">
        <v>5040</v>
      </c>
      <c r="N197" s="16" t="s">
        <v>1459</v>
      </c>
    </row>
    <row r="198" spans="1:14" ht="20.100000000000001" customHeight="1" x14ac:dyDescent="0.25">
      <c r="A198" s="15" t="s">
        <v>5037</v>
      </c>
      <c r="B198" s="16" t="s">
        <v>286</v>
      </c>
      <c r="C198" s="15">
        <v>8303660</v>
      </c>
      <c r="D198" s="16" t="s">
        <v>313</v>
      </c>
      <c r="E198" s="15" t="s">
        <v>5078</v>
      </c>
      <c r="F198" s="21" t="str">
        <f>HYPERLINK("https://psearch.kitsapgov.com/webappa/index.html?parcelID=1880822&amp;Theme=Imagery","1880822")</f>
        <v>1880822</v>
      </c>
      <c r="G198" s="16" t="s">
        <v>107</v>
      </c>
      <c r="H198" s="17">
        <v>42515</v>
      </c>
      <c r="I198" s="18">
        <v>2800000</v>
      </c>
      <c r="J198" s="19">
        <v>0</v>
      </c>
      <c r="L198" s="16" t="s">
        <v>4645</v>
      </c>
      <c r="M198" s="16" t="s">
        <v>5040</v>
      </c>
      <c r="N198" s="16" t="s">
        <v>1459</v>
      </c>
    </row>
    <row r="199" spans="1:14" ht="20.100000000000001" customHeight="1" x14ac:dyDescent="0.25">
      <c r="A199" s="15" t="s">
        <v>5037</v>
      </c>
      <c r="B199" s="16" t="s">
        <v>286</v>
      </c>
      <c r="C199" s="15">
        <v>8303660</v>
      </c>
      <c r="D199" s="16" t="s">
        <v>313</v>
      </c>
      <c r="E199" s="15" t="s">
        <v>5079</v>
      </c>
      <c r="F199" s="21" t="str">
        <f>HYPERLINK("https://psearch.kitsapgov.com/webappa/index.html?parcelID=1880830&amp;Theme=Imagery","1880830")</f>
        <v>1880830</v>
      </c>
      <c r="G199" s="16" t="s">
        <v>107</v>
      </c>
      <c r="H199" s="17">
        <v>42515</v>
      </c>
      <c r="I199" s="18">
        <v>2800000</v>
      </c>
      <c r="J199" s="19">
        <v>0</v>
      </c>
      <c r="L199" s="16" t="s">
        <v>4645</v>
      </c>
      <c r="M199" s="16" t="s">
        <v>5040</v>
      </c>
      <c r="N199" s="16" t="s">
        <v>1459</v>
      </c>
    </row>
    <row r="200" spans="1:14" ht="20.100000000000001" customHeight="1" x14ac:dyDescent="0.25">
      <c r="A200" s="15" t="s">
        <v>5037</v>
      </c>
      <c r="B200" s="16" t="s">
        <v>286</v>
      </c>
      <c r="C200" s="15">
        <v>8303660</v>
      </c>
      <c r="D200" s="16" t="s">
        <v>313</v>
      </c>
      <c r="E200" s="15" t="s">
        <v>5080</v>
      </c>
      <c r="F200" s="21" t="str">
        <f>HYPERLINK("https://psearch.kitsapgov.com/webappa/index.html?parcelID=1880848&amp;Theme=Imagery","1880848")</f>
        <v>1880848</v>
      </c>
      <c r="G200" s="16" t="s">
        <v>107</v>
      </c>
      <c r="H200" s="17">
        <v>42515</v>
      </c>
      <c r="I200" s="18">
        <v>2800000</v>
      </c>
      <c r="J200" s="19">
        <v>0</v>
      </c>
      <c r="L200" s="16" t="s">
        <v>4645</v>
      </c>
      <c r="M200" s="16" t="s">
        <v>5040</v>
      </c>
      <c r="N200" s="16" t="s">
        <v>1459</v>
      </c>
    </row>
    <row r="201" spans="1:14" ht="20.100000000000001" customHeight="1" x14ac:dyDescent="0.25">
      <c r="A201" s="15" t="s">
        <v>5037</v>
      </c>
      <c r="B201" s="16" t="s">
        <v>286</v>
      </c>
      <c r="C201" s="15">
        <v>8303660</v>
      </c>
      <c r="D201" s="16" t="s">
        <v>313</v>
      </c>
      <c r="E201" s="15" t="s">
        <v>5081</v>
      </c>
      <c r="F201" s="21" t="str">
        <f>HYPERLINK("https://psearch.kitsapgov.com/webappa/index.html?parcelID=1880855&amp;Theme=Imagery","1880855")</f>
        <v>1880855</v>
      </c>
      <c r="G201" s="16" t="s">
        <v>107</v>
      </c>
      <c r="H201" s="17">
        <v>42515</v>
      </c>
      <c r="I201" s="18">
        <v>2800000</v>
      </c>
      <c r="J201" s="19">
        <v>0</v>
      </c>
      <c r="L201" s="16" t="s">
        <v>4645</v>
      </c>
      <c r="M201" s="16" t="s">
        <v>5040</v>
      </c>
      <c r="N201" s="16" t="s">
        <v>1459</v>
      </c>
    </row>
    <row r="202" spans="1:14" ht="20.100000000000001" customHeight="1" x14ac:dyDescent="0.25">
      <c r="A202" s="15" t="s">
        <v>5037</v>
      </c>
      <c r="B202" s="16" t="s">
        <v>286</v>
      </c>
      <c r="C202" s="15">
        <v>8303660</v>
      </c>
      <c r="D202" s="16" t="s">
        <v>313</v>
      </c>
      <c r="E202" s="15" t="s">
        <v>5082</v>
      </c>
      <c r="F202" s="21" t="str">
        <f>HYPERLINK("https://psearch.kitsapgov.com/webappa/index.html?parcelID=1880871&amp;Theme=Imagery","1880871")</f>
        <v>1880871</v>
      </c>
      <c r="G202" s="16" t="s">
        <v>107</v>
      </c>
      <c r="H202" s="17">
        <v>42515</v>
      </c>
      <c r="I202" s="18">
        <v>2800000</v>
      </c>
      <c r="J202" s="19">
        <v>0</v>
      </c>
      <c r="L202" s="16" t="s">
        <v>4645</v>
      </c>
      <c r="M202" s="16" t="s">
        <v>5040</v>
      </c>
      <c r="N202" s="16" t="s">
        <v>1459</v>
      </c>
    </row>
    <row r="203" spans="1:14" ht="20.100000000000001" customHeight="1" x14ac:dyDescent="0.25">
      <c r="A203" s="15" t="s">
        <v>5037</v>
      </c>
      <c r="B203" s="16" t="s">
        <v>286</v>
      </c>
      <c r="C203" s="15">
        <v>8303660</v>
      </c>
      <c r="D203" s="16" t="s">
        <v>313</v>
      </c>
      <c r="E203" s="15" t="s">
        <v>5083</v>
      </c>
      <c r="F203" s="21" t="str">
        <f>HYPERLINK("https://psearch.kitsapgov.com/webappa/index.html?parcelID=1880905&amp;Theme=Imagery","1880905")</f>
        <v>1880905</v>
      </c>
      <c r="G203" s="16" t="s">
        <v>107</v>
      </c>
      <c r="H203" s="17">
        <v>42515</v>
      </c>
      <c r="I203" s="18">
        <v>2800000</v>
      </c>
      <c r="J203" s="19">
        <v>0</v>
      </c>
      <c r="L203" s="16" t="s">
        <v>4645</v>
      </c>
      <c r="M203" s="16" t="s">
        <v>5040</v>
      </c>
      <c r="N203" s="16" t="s">
        <v>1459</v>
      </c>
    </row>
    <row r="204" spans="1:14" ht="20.100000000000001" customHeight="1" x14ac:dyDescent="0.25">
      <c r="A204" s="15" t="s">
        <v>5037</v>
      </c>
      <c r="B204" s="16" t="s">
        <v>286</v>
      </c>
      <c r="C204" s="15">
        <v>8303660</v>
      </c>
      <c r="D204" s="16" t="s">
        <v>313</v>
      </c>
      <c r="E204" s="15" t="s">
        <v>5084</v>
      </c>
      <c r="F204" s="21" t="str">
        <f>HYPERLINK("https://psearch.kitsapgov.com/webappa/index.html?parcelID=1880913&amp;Theme=Imagery","1880913")</f>
        <v>1880913</v>
      </c>
      <c r="G204" s="16" t="s">
        <v>107</v>
      </c>
      <c r="H204" s="17">
        <v>42515</v>
      </c>
      <c r="I204" s="18">
        <v>2800000</v>
      </c>
      <c r="J204" s="19">
        <v>0</v>
      </c>
      <c r="L204" s="16" t="s">
        <v>4645</v>
      </c>
      <c r="M204" s="16" t="s">
        <v>5040</v>
      </c>
      <c r="N204" s="16" t="s">
        <v>1459</v>
      </c>
    </row>
    <row r="205" spans="1:14" ht="20.100000000000001" customHeight="1" x14ac:dyDescent="0.25">
      <c r="A205" s="15" t="s">
        <v>5037</v>
      </c>
      <c r="B205" s="16" t="s">
        <v>286</v>
      </c>
      <c r="C205" s="15">
        <v>8303660</v>
      </c>
      <c r="D205" s="16" t="s">
        <v>313</v>
      </c>
      <c r="E205" s="15" t="s">
        <v>5085</v>
      </c>
      <c r="F205" s="21" t="str">
        <f>HYPERLINK("https://psearch.kitsapgov.com/webappa/index.html?parcelID=1880921&amp;Theme=Imagery","1880921")</f>
        <v>1880921</v>
      </c>
      <c r="G205" s="16" t="s">
        <v>107</v>
      </c>
      <c r="H205" s="17">
        <v>42515</v>
      </c>
      <c r="I205" s="18">
        <v>2800000</v>
      </c>
      <c r="J205" s="19">
        <v>0</v>
      </c>
      <c r="L205" s="16" t="s">
        <v>4645</v>
      </c>
      <c r="M205" s="16" t="s">
        <v>5040</v>
      </c>
      <c r="N205" s="16" t="s">
        <v>1459</v>
      </c>
    </row>
    <row r="206" spans="1:14" ht="20.100000000000001" customHeight="1" x14ac:dyDescent="0.25">
      <c r="A206" s="15" t="s">
        <v>5037</v>
      </c>
      <c r="B206" s="16" t="s">
        <v>286</v>
      </c>
      <c r="C206" s="15">
        <v>8303660</v>
      </c>
      <c r="D206" s="16" t="s">
        <v>313</v>
      </c>
      <c r="E206" s="15" t="s">
        <v>5086</v>
      </c>
      <c r="F206" s="21" t="str">
        <f>HYPERLINK("https://psearch.kitsapgov.com/webappa/index.html?parcelID=1881028&amp;Theme=Imagery","1881028")</f>
        <v>1881028</v>
      </c>
      <c r="G206" s="16" t="s">
        <v>5087</v>
      </c>
      <c r="H206" s="17">
        <v>42515</v>
      </c>
      <c r="I206" s="18">
        <v>2800000</v>
      </c>
      <c r="J206" s="19">
        <v>0</v>
      </c>
      <c r="L206" s="16" t="s">
        <v>4645</v>
      </c>
      <c r="M206" s="16" t="s">
        <v>5040</v>
      </c>
      <c r="N206" s="16" t="s">
        <v>1459</v>
      </c>
    </row>
    <row r="207" spans="1:14" ht="20.100000000000001" customHeight="1" x14ac:dyDescent="0.25">
      <c r="A207" s="15" t="s">
        <v>5037</v>
      </c>
      <c r="B207" s="16" t="s">
        <v>286</v>
      </c>
      <c r="C207" s="15">
        <v>8303660</v>
      </c>
      <c r="D207" s="16" t="s">
        <v>313</v>
      </c>
      <c r="E207" s="15" t="s">
        <v>5088</v>
      </c>
      <c r="F207" s="21" t="str">
        <f>HYPERLINK("https://psearch.kitsapgov.com/webappa/index.html?parcelID=1918242&amp;Theme=Imagery","1918242")</f>
        <v>1918242</v>
      </c>
      <c r="G207" s="16" t="s">
        <v>107</v>
      </c>
      <c r="H207" s="17">
        <v>42515</v>
      </c>
      <c r="I207" s="18">
        <v>2800000</v>
      </c>
      <c r="J207" s="19">
        <v>0</v>
      </c>
      <c r="L207" s="16" t="s">
        <v>4645</v>
      </c>
      <c r="M207" s="16" t="s">
        <v>5040</v>
      </c>
      <c r="N207" s="16" t="s">
        <v>1459</v>
      </c>
    </row>
    <row r="208" spans="1:14" ht="20.100000000000001" customHeight="1" x14ac:dyDescent="0.25">
      <c r="A208" s="15" t="s">
        <v>5037</v>
      </c>
      <c r="B208" s="16" t="s">
        <v>286</v>
      </c>
      <c r="C208" s="15">
        <v>8303660</v>
      </c>
      <c r="D208" s="16" t="s">
        <v>313</v>
      </c>
      <c r="E208" s="15" t="s">
        <v>5089</v>
      </c>
      <c r="F208" s="21" t="str">
        <f>HYPERLINK("https://psearch.kitsapgov.com/webappa/index.html?parcelID=1918259&amp;Theme=Imagery","1918259")</f>
        <v>1918259</v>
      </c>
      <c r="G208" s="16" t="s">
        <v>107</v>
      </c>
      <c r="H208" s="17">
        <v>42515</v>
      </c>
      <c r="I208" s="18">
        <v>2800000</v>
      </c>
      <c r="J208" s="19">
        <v>0</v>
      </c>
      <c r="L208" s="16" t="s">
        <v>4645</v>
      </c>
      <c r="M208" s="16" t="s">
        <v>5040</v>
      </c>
      <c r="N208" s="16" t="s">
        <v>1459</v>
      </c>
    </row>
    <row r="209" spans="1:14" ht="20.100000000000001" customHeight="1" x14ac:dyDescent="0.25">
      <c r="A209" s="15" t="s">
        <v>5037</v>
      </c>
      <c r="B209" s="16" t="s">
        <v>286</v>
      </c>
      <c r="C209" s="15">
        <v>8303660</v>
      </c>
      <c r="D209" s="16" t="s">
        <v>313</v>
      </c>
      <c r="E209" s="15" t="s">
        <v>5090</v>
      </c>
      <c r="F209" s="21" t="str">
        <f>HYPERLINK("https://psearch.kitsapgov.com/webappa/index.html?parcelID=1881051&amp;Theme=Imagery","1881051")</f>
        <v>1881051</v>
      </c>
      <c r="G209" s="16" t="s">
        <v>5091</v>
      </c>
      <c r="H209" s="17">
        <v>42515</v>
      </c>
      <c r="I209" s="18">
        <v>2800000</v>
      </c>
      <c r="J209" s="19">
        <v>0</v>
      </c>
      <c r="L209" s="16" t="s">
        <v>372</v>
      </c>
      <c r="M209" s="16" t="s">
        <v>5040</v>
      </c>
      <c r="N209" s="16" t="s">
        <v>1459</v>
      </c>
    </row>
    <row r="210" spans="1:14" ht="20.100000000000001" customHeight="1" x14ac:dyDescent="0.25">
      <c r="A210" s="15" t="s">
        <v>5037</v>
      </c>
      <c r="B210" s="16" t="s">
        <v>286</v>
      </c>
      <c r="C210" s="15">
        <v>8303660</v>
      </c>
      <c r="D210" s="16" t="s">
        <v>313</v>
      </c>
      <c r="E210" s="15" t="s">
        <v>5092</v>
      </c>
      <c r="F210" s="21" t="str">
        <f>HYPERLINK("https://psearch.kitsapgov.com/webappa/index.html?parcelID=1881069&amp;Theme=Imagery","1881069")</f>
        <v>1881069</v>
      </c>
      <c r="G210" s="16" t="s">
        <v>107</v>
      </c>
      <c r="H210" s="17">
        <v>42515</v>
      </c>
      <c r="I210" s="18">
        <v>2800000</v>
      </c>
      <c r="J210" s="19">
        <v>0</v>
      </c>
      <c r="L210" s="16" t="s">
        <v>4645</v>
      </c>
      <c r="M210" s="16" t="s">
        <v>5040</v>
      </c>
      <c r="N210" s="16" t="s">
        <v>1459</v>
      </c>
    </row>
    <row r="211" spans="1:14" ht="20.100000000000001" customHeight="1" x14ac:dyDescent="0.25">
      <c r="A211" s="15" t="s">
        <v>5037</v>
      </c>
      <c r="B211" s="16" t="s">
        <v>286</v>
      </c>
      <c r="C211" s="15">
        <v>8303660</v>
      </c>
      <c r="D211" s="16" t="s">
        <v>313</v>
      </c>
      <c r="E211" s="15" t="s">
        <v>5093</v>
      </c>
      <c r="F211" s="21" t="str">
        <f>HYPERLINK("https://psearch.kitsapgov.com/webappa/index.html?parcelID=1881085&amp;Theme=Imagery","1881085")</f>
        <v>1881085</v>
      </c>
      <c r="G211" s="16" t="s">
        <v>107</v>
      </c>
      <c r="H211" s="17">
        <v>42515</v>
      </c>
      <c r="I211" s="18">
        <v>2800000</v>
      </c>
      <c r="J211" s="19">
        <v>0</v>
      </c>
      <c r="L211" s="16" t="s">
        <v>4645</v>
      </c>
      <c r="M211" s="16" t="s">
        <v>5040</v>
      </c>
      <c r="N211" s="16" t="s">
        <v>1459</v>
      </c>
    </row>
    <row r="212" spans="1:14" ht="20.100000000000001" customHeight="1" x14ac:dyDescent="0.25">
      <c r="A212" s="15" t="s">
        <v>5037</v>
      </c>
      <c r="B212" s="16" t="s">
        <v>286</v>
      </c>
      <c r="C212" s="15">
        <v>8303660</v>
      </c>
      <c r="D212" s="16" t="s">
        <v>313</v>
      </c>
      <c r="E212" s="15" t="s">
        <v>5094</v>
      </c>
      <c r="F212" s="21" t="str">
        <f>HYPERLINK("https://psearch.kitsapgov.com/webappa/index.html?parcelID=1881093&amp;Theme=Imagery","1881093")</f>
        <v>1881093</v>
      </c>
      <c r="G212" s="16" t="s">
        <v>107</v>
      </c>
      <c r="H212" s="17">
        <v>42515</v>
      </c>
      <c r="I212" s="18">
        <v>2800000</v>
      </c>
      <c r="J212" s="19">
        <v>0</v>
      </c>
      <c r="L212" s="16" t="s">
        <v>4645</v>
      </c>
      <c r="M212" s="16" t="s">
        <v>5040</v>
      </c>
      <c r="N212" s="16" t="s">
        <v>1459</v>
      </c>
    </row>
    <row r="213" spans="1:14" ht="20.100000000000001" customHeight="1" x14ac:dyDescent="0.25">
      <c r="A213" s="15" t="s">
        <v>5037</v>
      </c>
      <c r="B213" s="16" t="s">
        <v>286</v>
      </c>
      <c r="C213" s="15">
        <v>8303660</v>
      </c>
      <c r="D213" s="16" t="s">
        <v>313</v>
      </c>
      <c r="E213" s="15" t="s">
        <v>5095</v>
      </c>
      <c r="F213" s="21" t="str">
        <f>HYPERLINK("https://psearch.kitsapgov.com/webappa/index.html?parcelID=1881101&amp;Theme=Imagery","1881101")</f>
        <v>1881101</v>
      </c>
      <c r="G213" s="16" t="s">
        <v>107</v>
      </c>
      <c r="H213" s="17">
        <v>42515</v>
      </c>
      <c r="I213" s="18">
        <v>2800000</v>
      </c>
      <c r="J213" s="19">
        <v>0</v>
      </c>
      <c r="L213" s="16" t="s">
        <v>4645</v>
      </c>
      <c r="M213" s="16" t="s">
        <v>5040</v>
      </c>
      <c r="N213" s="16" t="s">
        <v>1459</v>
      </c>
    </row>
    <row r="214" spans="1:14" ht="20.100000000000001" customHeight="1" x14ac:dyDescent="0.25">
      <c r="A214" s="15" t="s">
        <v>5037</v>
      </c>
      <c r="B214" s="16" t="s">
        <v>286</v>
      </c>
      <c r="C214" s="15">
        <v>8303660</v>
      </c>
      <c r="D214" s="16" t="s">
        <v>313</v>
      </c>
      <c r="E214" s="15" t="s">
        <v>5096</v>
      </c>
      <c r="F214" s="21" t="str">
        <f>HYPERLINK("https://psearch.kitsapgov.com/webappa/index.html?parcelID=1881119&amp;Theme=Imagery","1881119")</f>
        <v>1881119</v>
      </c>
      <c r="G214" s="16" t="s">
        <v>107</v>
      </c>
      <c r="H214" s="17">
        <v>42515</v>
      </c>
      <c r="I214" s="18">
        <v>2800000</v>
      </c>
      <c r="J214" s="19">
        <v>0</v>
      </c>
      <c r="L214" s="16" t="s">
        <v>4645</v>
      </c>
      <c r="M214" s="16" t="s">
        <v>5040</v>
      </c>
      <c r="N214" s="16" t="s">
        <v>1459</v>
      </c>
    </row>
    <row r="215" spans="1:14" ht="20.100000000000001" customHeight="1" x14ac:dyDescent="0.25">
      <c r="A215" s="15" t="s">
        <v>5037</v>
      </c>
      <c r="B215" s="16" t="s">
        <v>286</v>
      </c>
      <c r="C215" s="15">
        <v>8303660</v>
      </c>
      <c r="D215" s="16" t="s">
        <v>313</v>
      </c>
      <c r="E215" s="15" t="s">
        <v>5097</v>
      </c>
      <c r="F215" s="21" t="str">
        <f>HYPERLINK("https://psearch.kitsapgov.com/webappa/index.html?parcelID=1881127&amp;Theme=Imagery","1881127")</f>
        <v>1881127</v>
      </c>
      <c r="G215" s="16" t="s">
        <v>107</v>
      </c>
      <c r="H215" s="17">
        <v>42515</v>
      </c>
      <c r="I215" s="18">
        <v>2800000</v>
      </c>
      <c r="J215" s="19">
        <v>0</v>
      </c>
      <c r="L215" s="16" t="s">
        <v>4645</v>
      </c>
      <c r="M215" s="16" t="s">
        <v>5040</v>
      </c>
      <c r="N215" s="16" t="s">
        <v>1459</v>
      </c>
    </row>
    <row r="216" spans="1:14" ht="20.100000000000001" customHeight="1" x14ac:dyDescent="0.25">
      <c r="A216" s="15" t="s">
        <v>5037</v>
      </c>
      <c r="B216" s="16" t="s">
        <v>286</v>
      </c>
      <c r="C216" s="15">
        <v>8303660</v>
      </c>
      <c r="D216" s="16" t="s">
        <v>313</v>
      </c>
      <c r="E216" s="15" t="s">
        <v>5098</v>
      </c>
      <c r="F216" s="21" t="str">
        <f>HYPERLINK("https://psearch.kitsapgov.com/webappa/index.html?parcelID=1881143&amp;Theme=Imagery","1881143")</f>
        <v>1881143</v>
      </c>
      <c r="G216" s="16" t="s">
        <v>107</v>
      </c>
      <c r="H216" s="17">
        <v>42515</v>
      </c>
      <c r="I216" s="18">
        <v>2800000</v>
      </c>
      <c r="J216" s="19">
        <v>0</v>
      </c>
      <c r="L216" s="16" t="s">
        <v>4645</v>
      </c>
      <c r="M216" s="16" t="s">
        <v>5040</v>
      </c>
      <c r="N216" s="16" t="s">
        <v>1459</v>
      </c>
    </row>
    <row r="217" spans="1:14" ht="20.100000000000001" customHeight="1" x14ac:dyDescent="0.25">
      <c r="A217" s="15" t="s">
        <v>5037</v>
      </c>
      <c r="B217" s="16" t="s">
        <v>286</v>
      </c>
      <c r="C217" s="15">
        <v>8303660</v>
      </c>
      <c r="D217" s="16" t="s">
        <v>313</v>
      </c>
      <c r="E217" s="15" t="s">
        <v>5099</v>
      </c>
      <c r="F217" s="21" t="str">
        <f>HYPERLINK("https://psearch.kitsapgov.com/webappa/index.html?parcelID=1881168&amp;Theme=Imagery","1881168")</f>
        <v>1881168</v>
      </c>
      <c r="G217" s="16" t="s">
        <v>107</v>
      </c>
      <c r="H217" s="17">
        <v>42515</v>
      </c>
      <c r="I217" s="18">
        <v>2800000</v>
      </c>
      <c r="J217" s="19">
        <v>0</v>
      </c>
      <c r="L217" s="16" t="s">
        <v>4645</v>
      </c>
      <c r="M217" s="16" t="s">
        <v>5040</v>
      </c>
      <c r="N217" s="16" t="s">
        <v>1459</v>
      </c>
    </row>
    <row r="218" spans="1:14" ht="20.100000000000001" customHeight="1" x14ac:dyDescent="0.25">
      <c r="A218" s="15" t="s">
        <v>5037</v>
      </c>
      <c r="B218" s="16" t="s">
        <v>286</v>
      </c>
      <c r="C218" s="15">
        <v>8303660</v>
      </c>
      <c r="D218" s="16" t="s">
        <v>313</v>
      </c>
      <c r="E218" s="15" t="s">
        <v>5100</v>
      </c>
      <c r="F218" s="21" t="str">
        <f>HYPERLINK("https://psearch.kitsapgov.com/webappa/index.html?parcelID=1881184&amp;Theme=Imagery","1881184")</f>
        <v>1881184</v>
      </c>
      <c r="G218" s="16" t="s">
        <v>107</v>
      </c>
      <c r="H218" s="17">
        <v>42515</v>
      </c>
      <c r="I218" s="18">
        <v>2800000</v>
      </c>
      <c r="J218" s="19">
        <v>0</v>
      </c>
      <c r="L218" s="16" t="s">
        <v>4645</v>
      </c>
      <c r="M218" s="16" t="s">
        <v>5040</v>
      </c>
      <c r="N218" s="16" t="s">
        <v>1459</v>
      </c>
    </row>
    <row r="219" spans="1:14" ht="20.100000000000001" customHeight="1" x14ac:dyDescent="0.25">
      <c r="A219" s="15" t="s">
        <v>5037</v>
      </c>
      <c r="B219" s="16" t="s">
        <v>286</v>
      </c>
      <c r="C219" s="15">
        <v>8303660</v>
      </c>
      <c r="D219" s="16" t="s">
        <v>313</v>
      </c>
      <c r="E219" s="15" t="s">
        <v>5101</v>
      </c>
      <c r="F219" s="21" t="str">
        <f>HYPERLINK("https://psearch.kitsapgov.com/webappa/index.html?parcelID=1881200&amp;Theme=Imagery","1881200")</f>
        <v>1881200</v>
      </c>
      <c r="G219" s="16" t="s">
        <v>107</v>
      </c>
      <c r="H219" s="17">
        <v>42515</v>
      </c>
      <c r="I219" s="18">
        <v>2800000</v>
      </c>
      <c r="J219" s="19">
        <v>0</v>
      </c>
      <c r="L219" s="16" t="s">
        <v>4645</v>
      </c>
      <c r="M219" s="16" t="s">
        <v>5040</v>
      </c>
      <c r="N219" s="16" t="s">
        <v>1459</v>
      </c>
    </row>
    <row r="220" spans="1:14" ht="20.100000000000001" customHeight="1" x14ac:dyDescent="0.25">
      <c r="A220" s="15" t="s">
        <v>5037</v>
      </c>
      <c r="B220" s="16" t="s">
        <v>286</v>
      </c>
      <c r="C220" s="15">
        <v>8303660</v>
      </c>
      <c r="D220" s="16" t="s">
        <v>313</v>
      </c>
      <c r="E220" s="15" t="s">
        <v>5102</v>
      </c>
      <c r="F220" s="21" t="str">
        <f>HYPERLINK("https://psearch.kitsapgov.com/webappa/index.html?parcelID=1881275&amp;Theme=Imagery","1881275")</f>
        <v>1881275</v>
      </c>
      <c r="G220" s="16" t="s">
        <v>107</v>
      </c>
      <c r="H220" s="17">
        <v>42515</v>
      </c>
      <c r="I220" s="18">
        <v>2800000</v>
      </c>
      <c r="J220" s="19">
        <v>0</v>
      </c>
      <c r="L220" s="16" t="s">
        <v>4645</v>
      </c>
      <c r="M220" s="16" t="s">
        <v>5040</v>
      </c>
      <c r="N220" s="16" t="s">
        <v>1459</v>
      </c>
    </row>
    <row r="221" spans="1:14" ht="20.100000000000001" customHeight="1" x14ac:dyDescent="0.25">
      <c r="A221" s="15" t="s">
        <v>5037</v>
      </c>
      <c r="B221" s="16" t="s">
        <v>286</v>
      </c>
      <c r="C221" s="15">
        <v>8303660</v>
      </c>
      <c r="D221" s="16" t="s">
        <v>313</v>
      </c>
      <c r="E221" s="15" t="s">
        <v>5103</v>
      </c>
      <c r="F221" s="21" t="str">
        <f>HYPERLINK("https://psearch.kitsapgov.com/webappa/index.html?parcelID=1881283&amp;Theme=Imagery","1881283")</f>
        <v>1881283</v>
      </c>
      <c r="G221" s="16" t="s">
        <v>107</v>
      </c>
      <c r="H221" s="17">
        <v>42515</v>
      </c>
      <c r="I221" s="18">
        <v>2800000</v>
      </c>
      <c r="J221" s="19">
        <v>0</v>
      </c>
      <c r="L221" s="16" t="s">
        <v>4645</v>
      </c>
      <c r="M221" s="16" t="s">
        <v>5040</v>
      </c>
      <c r="N221" s="16" t="s">
        <v>1459</v>
      </c>
    </row>
    <row r="222" spans="1:14" ht="20.100000000000001" customHeight="1" x14ac:dyDescent="0.25">
      <c r="A222" s="15" t="s">
        <v>5037</v>
      </c>
      <c r="B222" s="16" t="s">
        <v>286</v>
      </c>
      <c r="C222" s="15">
        <v>8303660</v>
      </c>
      <c r="D222" s="16" t="s">
        <v>313</v>
      </c>
      <c r="E222" s="15" t="s">
        <v>5104</v>
      </c>
      <c r="F222" s="21" t="str">
        <f>HYPERLINK("https://psearch.kitsapgov.com/webappa/index.html?parcelID=1881291&amp;Theme=Imagery","1881291")</f>
        <v>1881291</v>
      </c>
      <c r="G222" s="16" t="s">
        <v>107</v>
      </c>
      <c r="H222" s="17">
        <v>42515</v>
      </c>
      <c r="I222" s="18">
        <v>2800000</v>
      </c>
      <c r="J222" s="19">
        <v>0</v>
      </c>
      <c r="L222" s="16" t="s">
        <v>4645</v>
      </c>
      <c r="M222" s="16" t="s">
        <v>5040</v>
      </c>
      <c r="N222" s="16" t="s">
        <v>1459</v>
      </c>
    </row>
    <row r="223" spans="1:14" ht="20.100000000000001" customHeight="1" x14ac:dyDescent="0.25">
      <c r="A223" s="15" t="s">
        <v>5037</v>
      </c>
      <c r="B223" s="16" t="s">
        <v>286</v>
      </c>
      <c r="C223" s="15">
        <v>8303660</v>
      </c>
      <c r="D223" s="16" t="s">
        <v>313</v>
      </c>
      <c r="E223" s="15" t="s">
        <v>5105</v>
      </c>
      <c r="F223" s="21" t="str">
        <f>HYPERLINK("https://psearch.kitsapgov.com/webappa/index.html?parcelID=1881309&amp;Theme=Imagery","1881309")</f>
        <v>1881309</v>
      </c>
      <c r="G223" s="16" t="s">
        <v>107</v>
      </c>
      <c r="H223" s="17">
        <v>42515</v>
      </c>
      <c r="I223" s="18">
        <v>2800000</v>
      </c>
      <c r="J223" s="19">
        <v>0</v>
      </c>
      <c r="L223" s="16" t="s">
        <v>4645</v>
      </c>
      <c r="M223" s="16" t="s">
        <v>5040</v>
      </c>
      <c r="N223" s="16" t="s">
        <v>1459</v>
      </c>
    </row>
    <row r="224" spans="1:14" ht="20.100000000000001" customHeight="1" x14ac:dyDescent="0.25">
      <c r="A224" s="15" t="s">
        <v>5037</v>
      </c>
      <c r="B224" s="16" t="s">
        <v>286</v>
      </c>
      <c r="C224" s="15">
        <v>8303660</v>
      </c>
      <c r="D224" s="16" t="s">
        <v>313</v>
      </c>
      <c r="E224" s="15" t="s">
        <v>5106</v>
      </c>
      <c r="F224" s="21" t="str">
        <f>HYPERLINK("https://psearch.kitsapgov.com/webappa/index.html?parcelID=1881317&amp;Theme=Imagery","1881317")</f>
        <v>1881317</v>
      </c>
      <c r="G224" s="16" t="s">
        <v>107</v>
      </c>
      <c r="H224" s="17">
        <v>42515</v>
      </c>
      <c r="I224" s="18">
        <v>2800000</v>
      </c>
      <c r="J224" s="19">
        <v>0</v>
      </c>
      <c r="L224" s="16" t="s">
        <v>4645</v>
      </c>
      <c r="M224" s="16" t="s">
        <v>5040</v>
      </c>
      <c r="N224" s="16" t="s">
        <v>1459</v>
      </c>
    </row>
    <row r="225" spans="1:14" ht="20.100000000000001" customHeight="1" x14ac:dyDescent="0.25">
      <c r="A225" s="15" t="s">
        <v>5037</v>
      </c>
      <c r="B225" s="16" t="s">
        <v>286</v>
      </c>
      <c r="C225" s="15">
        <v>8303660</v>
      </c>
      <c r="D225" s="16" t="s">
        <v>313</v>
      </c>
      <c r="E225" s="15" t="s">
        <v>5107</v>
      </c>
      <c r="F225" s="21" t="str">
        <f>HYPERLINK("https://psearch.kitsapgov.com/webappa/index.html?parcelID=1881325&amp;Theme=Imagery","1881325")</f>
        <v>1881325</v>
      </c>
      <c r="G225" s="16" t="s">
        <v>107</v>
      </c>
      <c r="H225" s="17">
        <v>42515</v>
      </c>
      <c r="I225" s="18">
        <v>2800000</v>
      </c>
      <c r="J225" s="19">
        <v>0</v>
      </c>
      <c r="L225" s="16" t="s">
        <v>4645</v>
      </c>
      <c r="M225" s="16" t="s">
        <v>5040</v>
      </c>
      <c r="N225" s="16" t="s">
        <v>1459</v>
      </c>
    </row>
    <row r="226" spans="1:14" ht="20.100000000000001" customHeight="1" x14ac:dyDescent="0.25">
      <c r="A226" s="15" t="s">
        <v>5037</v>
      </c>
      <c r="B226" s="16" t="s">
        <v>286</v>
      </c>
      <c r="C226" s="15">
        <v>8303660</v>
      </c>
      <c r="D226" s="16" t="s">
        <v>313</v>
      </c>
      <c r="E226" s="15" t="s">
        <v>5108</v>
      </c>
      <c r="F226" s="21" t="str">
        <f>HYPERLINK("https://psearch.kitsapgov.com/webappa/index.html?parcelID=1881341&amp;Theme=Imagery","1881341")</f>
        <v>1881341</v>
      </c>
      <c r="G226" s="16" t="s">
        <v>5109</v>
      </c>
      <c r="H226" s="17">
        <v>42515</v>
      </c>
      <c r="I226" s="18">
        <v>2800000</v>
      </c>
      <c r="J226" s="19">
        <v>0</v>
      </c>
      <c r="L226" s="16" t="s">
        <v>4645</v>
      </c>
      <c r="M226" s="16" t="s">
        <v>5040</v>
      </c>
      <c r="N226" s="16" t="s">
        <v>1459</v>
      </c>
    </row>
    <row r="227" spans="1:14" ht="20.100000000000001" customHeight="1" x14ac:dyDescent="0.25">
      <c r="A227" s="15" t="s">
        <v>5037</v>
      </c>
      <c r="B227" s="16" t="s">
        <v>286</v>
      </c>
      <c r="C227" s="15">
        <v>8303660</v>
      </c>
      <c r="D227" s="16" t="s">
        <v>313</v>
      </c>
      <c r="E227" s="15" t="s">
        <v>5110</v>
      </c>
      <c r="F227" s="21" t="str">
        <f>HYPERLINK("https://psearch.kitsapgov.com/webappa/index.html?parcelID=1881358&amp;Theme=Imagery","1881358")</f>
        <v>1881358</v>
      </c>
      <c r="G227" s="16" t="s">
        <v>107</v>
      </c>
      <c r="H227" s="17">
        <v>42515</v>
      </c>
      <c r="I227" s="18">
        <v>2800000</v>
      </c>
      <c r="J227" s="19">
        <v>0</v>
      </c>
      <c r="L227" s="16" t="s">
        <v>4645</v>
      </c>
      <c r="M227" s="16" t="s">
        <v>5040</v>
      </c>
      <c r="N227" s="16" t="s">
        <v>1459</v>
      </c>
    </row>
    <row r="228" spans="1:14" ht="20.100000000000001" customHeight="1" x14ac:dyDescent="0.25">
      <c r="A228" s="15" t="s">
        <v>5037</v>
      </c>
      <c r="B228" s="16" t="s">
        <v>286</v>
      </c>
      <c r="C228" s="15">
        <v>8303660</v>
      </c>
      <c r="D228" s="16" t="s">
        <v>313</v>
      </c>
      <c r="E228" s="15" t="s">
        <v>5111</v>
      </c>
      <c r="F228" s="21" t="str">
        <f>HYPERLINK("https://psearch.kitsapgov.com/webappa/index.html?parcelID=1881366&amp;Theme=Imagery","1881366")</f>
        <v>1881366</v>
      </c>
      <c r="G228" s="16" t="s">
        <v>107</v>
      </c>
      <c r="H228" s="17">
        <v>42515</v>
      </c>
      <c r="I228" s="18">
        <v>2800000</v>
      </c>
      <c r="J228" s="19">
        <v>0</v>
      </c>
      <c r="L228" s="16" t="s">
        <v>4645</v>
      </c>
      <c r="M228" s="16" t="s">
        <v>5040</v>
      </c>
      <c r="N228" s="16" t="s">
        <v>1459</v>
      </c>
    </row>
    <row r="229" spans="1:14" ht="20.100000000000001" customHeight="1" x14ac:dyDescent="0.25">
      <c r="A229" s="15" t="s">
        <v>5037</v>
      </c>
      <c r="B229" s="16" t="s">
        <v>286</v>
      </c>
      <c r="C229" s="15">
        <v>8303660</v>
      </c>
      <c r="D229" s="16" t="s">
        <v>313</v>
      </c>
      <c r="E229" s="15" t="s">
        <v>5112</v>
      </c>
      <c r="F229" s="21" t="str">
        <f>HYPERLINK("https://psearch.kitsapgov.com/webappa/index.html?parcelID=1881374&amp;Theme=Imagery","1881374")</f>
        <v>1881374</v>
      </c>
      <c r="G229" s="16" t="s">
        <v>107</v>
      </c>
      <c r="H229" s="17">
        <v>42515</v>
      </c>
      <c r="I229" s="18">
        <v>2800000</v>
      </c>
      <c r="J229" s="19">
        <v>0</v>
      </c>
      <c r="L229" s="16" t="s">
        <v>4645</v>
      </c>
      <c r="M229" s="16" t="s">
        <v>5040</v>
      </c>
      <c r="N229" s="16" t="s">
        <v>1459</v>
      </c>
    </row>
    <row r="230" spans="1:14" ht="20.100000000000001" customHeight="1" x14ac:dyDescent="0.25">
      <c r="A230" s="15" t="s">
        <v>5037</v>
      </c>
      <c r="B230" s="16" t="s">
        <v>286</v>
      </c>
      <c r="C230" s="15">
        <v>8303660</v>
      </c>
      <c r="D230" s="16" t="s">
        <v>313</v>
      </c>
      <c r="E230" s="15" t="s">
        <v>5113</v>
      </c>
      <c r="F230" s="21" t="str">
        <f>HYPERLINK("https://psearch.kitsapgov.com/webappa/index.html?parcelID=1881382&amp;Theme=Imagery","1881382")</f>
        <v>1881382</v>
      </c>
      <c r="G230" s="16" t="s">
        <v>107</v>
      </c>
      <c r="H230" s="17">
        <v>42515</v>
      </c>
      <c r="I230" s="18">
        <v>2800000</v>
      </c>
      <c r="J230" s="19">
        <v>0</v>
      </c>
      <c r="L230" s="16" t="s">
        <v>4645</v>
      </c>
      <c r="M230" s="16" t="s">
        <v>5040</v>
      </c>
      <c r="N230" s="16" t="s">
        <v>1459</v>
      </c>
    </row>
    <row r="231" spans="1:14" ht="20.100000000000001" customHeight="1" x14ac:dyDescent="0.25">
      <c r="A231" s="15" t="s">
        <v>5037</v>
      </c>
      <c r="B231" s="16" t="s">
        <v>286</v>
      </c>
      <c r="C231" s="15">
        <v>8303660</v>
      </c>
      <c r="D231" s="16" t="s">
        <v>313</v>
      </c>
      <c r="E231" s="15" t="s">
        <v>5114</v>
      </c>
      <c r="F231" s="21" t="str">
        <f>HYPERLINK("https://psearch.kitsapgov.com/webappa/index.html?parcelID=1881390&amp;Theme=Imagery","1881390")</f>
        <v>1881390</v>
      </c>
      <c r="G231" s="16" t="s">
        <v>107</v>
      </c>
      <c r="H231" s="17">
        <v>42515</v>
      </c>
      <c r="I231" s="18">
        <v>2800000</v>
      </c>
      <c r="J231" s="19">
        <v>0</v>
      </c>
      <c r="L231" s="16" t="s">
        <v>4645</v>
      </c>
      <c r="M231" s="16" t="s">
        <v>5040</v>
      </c>
      <c r="N231" s="16" t="s">
        <v>1459</v>
      </c>
    </row>
    <row r="232" spans="1:14" ht="20.100000000000001" customHeight="1" x14ac:dyDescent="0.25">
      <c r="A232" s="15" t="s">
        <v>5037</v>
      </c>
      <c r="B232" s="16" t="s">
        <v>286</v>
      </c>
      <c r="C232" s="15">
        <v>8303660</v>
      </c>
      <c r="D232" s="16" t="s">
        <v>313</v>
      </c>
      <c r="E232" s="15" t="s">
        <v>5115</v>
      </c>
      <c r="F232" s="21" t="str">
        <f>HYPERLINK("https://psearch.kitsapgov.com/webappa/index.html?parcelID=1881408&amp;Theme=Imagery","1881408")</f>
        <v>1881408</v>
      </c>
      <c r="G232" s="16" t="s">
        <v>107</v>
      </c>
      <c r="H232" s="17">
        <v>42515</v>
      </c>
      <c r="I232" s="18">
        <v>2800000</v>
      </c>
      <c r="J232" s="19">
        <v>0</v>
      </c>
      <c r="L232" s="16" t="s">
        <v>4645</v>
      </c>
      <c r="M232" s="16" t="s">
        <v>5040</v>
      </c>
      <c r="N232" s="16" t="s">
        <v>1459</v>
      </c>
    </row>
    <row r="233" spans="1:14" ht="20.100000000000001" customHeight="1" x14ac:dyDescent="0.25">
      <c r="A233" s="15" t="s">
        <v>5037</v>
      </c>
      <c r="B233" s="16" t="s">
        <v>286</v>
      </c>
      <c r="C233" s="15">
        <v>8303660</v>
      </c>
      <c r="D233" s="16" t="s">
        <v>313</v>
      </c>
      <c r="E233" s="15" t="s">
        <v>5116</v>
      </c>
      <c r="F233" s="21" t="str">
        <f>HYPERLINK("https://psearch.kitsapgov.com/webappa/index.html?parcelID=1881416&amp;Theme=Imagery","1881416")</f>
        <v>1881416</v>
      </c>
      <c r="G233" s="16" t="s">
        <v>107</v>
      </c>
      <c r="H233" s="17">
        <v>42515</v>
      </c>
      <c r="I233" s="18">
        <v>2800000</v>
      </c>
      <c r="J233" s="19">
        <v>0</v>
      </c>
      <c r="L233" s="16" t="s">
        <v>4645</v>
      </c>
      <c r="M233" s="16" t="s">
        <v>5040</v>
      </c>
      <c r="N233" s="16" t="s">
        <v>1459</v>
      </c>
    </row>
    <row r="234" spans="1:14" ht="20.100000000000001" customHeight="1" x14ac:dyDescent="0.25">
      <c r="A234" s="15" t="s">
        <v>5037</v>
      </c>
      <c r="B234" s="16" t="s">
        <v>286</v>
      </c>
      <c r="C234" s="15">
        <v>8303660</v>
      </c>
      <c r="D234" s="16" t="s">
        <v>313</v>
      </c>
      <c r="E234" s="15" t="s">
        <v>5117</v>
      </c>
      <c r="F234" s="21" t="str">
        <f>HYPERLINK("https://psearch.kitsapgov.com/webappa/index.html?parcelID=1881424&amp;Theme=Imagery","1881424")</f>
        <v>1881424</v>
      </c>
      <c r="G234" s="16" t="s">
        <v>107</v>
      </c>
      <c r="H234" s="17">
        <v>42515</v>
      </c>
      <c r="I234" s="18">
        <v>2800000</v>
      </c>
      <c r="J234" s="19">
        <v>0</v>
      </c>
      <c r="L234" s="16" t="s">
        <v>4645</v>
      </c>
      <c r="M234" s="16" t="s">
        <v>5040</v>
      </c>
      <c r="N234" s="16" t="s">
        <v>1459</v>
      </c>
    </row>
    <row r="235" spans="1:14" ht="20.100000000000001" customHeight="1" x14ac:dyDescent="0.25">
      <c r="A235" s="15" t="s">
        <v>5037</v>
      </c>
      <c r="B235" s="16" t="s">
        <v>286</v>
      </c>
      <c r="C235" s="15">
        <v>8303660</v>
      </c>
      <c r="D235" s="16" t="s">
        <v>313</v>
      </c>
      <c r="E235" s="15" t="s">
        <v>5118</v>
      </c>
      <c r="F235" s="21" t="str">
        <f>HYPERLINK("https://psearch.kitsapgov.com/webappa/index.html?parcelID=1881432&amp;Theme=Imagery","1881432")</f>
        <v>1881432</v>
      </c>
      <c r="G235" s="16" t="s">
        <v>107</v>
      </c>
      <c r="H235" s="17">
        <v>42515</v>
      </c>
      <c r="I235" s="18">
        <v>2800000</v>
      </c>
      <c r="J235" s="19">
        <v>0</v>
      </c>
      <c r="L235" s="16" t="s">
        <v>372</v>
      </c>
      <c r="M235" s="16" t="s">
        <v>5040</v>
      </c>
      <c r="N235" s="16" t="s">
        <v>1459</v>
      </c>
    </row>
    <row r="236" spans="1:14" ht="20.100000000000001" customHeight="1" x14ac:dyDescent="0.25">
      <c r="A236" s="15" t="s">
        <v>5037</v>
      </c>
      <c r="B236" s="16" t="s">
        <v>286</v>
      </c>
      <c r="C236" s="15">
        <v>8303660</v>
      </c>
      <c r="D236" s="16" t="s">
        <v>313</v>
      </c>
      <c r="E236" s="15" t="s">
        <v>5119</v>
      </c>
      <c r="F236" s="21" t="str">
        <f>HYPERLINK("https://psearch.kitsapgov.com/webappa/index.html?parcelID=1881465&amp;Theme=Imagery","1881465")</f>
        <v>1881465</v>
      </c>
      <c r="G236" s="16" t="s">
        <v>107</v>
      </c>
      <c r="H236" s="17">
        <v>42515</v>
      </c>
      <c r="I236" s="18">
        <v>2800000</v>
      </c>
      <c r="J236" s="19">
        <v>0</v>
      </c>
      <c r="L236" s="16" t="s">
        <v>4645</v>
      </c>
      <c r="M236" s="16" t="s">
        <v>5040</v>
      </c>
      <c r="N236" s="16" t="s">
        <v>1459</v>
      </c>
    </row>
    <row r="237" spans="1:14" ht="20.100000000000001" customHeight="1" x14ac:dyDescent="0.25">
      <c r="A237" s="15" t="s">
        <v>5037</v>
      </c>
      <c r="B237" s="16" t="s">
        <v>286</v>
      </c>
      <c r="C237" s="15">
        <v>8303660</v>
      </c>
      <c r="D237" s="16" t="s">
        <v>313</v>
      </c>
      <c r="E237" s="15" t="s">
        <v>5120</v>
      </c>
      <c r="F237" s="21" t="str">
        <f>HYPERLINK("https://psearch.kitsapgov.com/webappa/index.html?parcelID=1881473&amp;Theme=Imagery","1881473")</f>
        <v>1881473</v>
      </c>
      <c r="G237" s="16" t="s">
        <v>107</v>
      </c>
      <c r="H237" s="17">
        <v>42515</v>
      </c>
      <c r="I237" s="18">
        <v>2800000</v>
      </c>
      <c r="J237" s="19">
        <v>0</v>
      </c>
      <c r="L237" s="16" t="s">
        <v>4645</v>
      </c>
      <c r="M237" s="16" t="s">
        <v>5040</v>
      </c>
      <c r="N237" s="16" t="s">
        <v>1459</v>
      </c>
    </row>
    <row r="238" spans="1:14" ht="20.100000000000001" customHeight="1" x14ac:dyDescent="0.25">
      <c r="A238" s="15" t="s">
        <v>5037</v>
      </c>
      <c r="B238" s="16" t="s">
        <v>286</v>
      </c>
      <c r="C238" s="15">
        <v>8303660</v>
      </c>
      <c r="D238" s="16" t="s">
        <v>313</v>
      </c>
      <c r="E238" s="15" t="s">
        <v>5121</v>
      </c>
      <c r="F238" s="21" t="str">
        <f>HYPERLINK("https://psearch.kitsapgov.com/webappa/index.html?parcelID=1881481&amp;Theme=Imagery","1881481")</f>
        <v>1881481</v>
      </c>
      <c r="G238" s="16" t="s">
        <v>107</v>
      </c>
      <c r="H238" s="17">
        <v>42515</v>
      </c>
      <c r="I238" s="18">
        <v>2800000</v>
      </c>
      <c r="J238" s="19">
        <v>0</v>
      </c>
      <c r="L238" s="16" t="s">
        <v>4645</v>
      </c>
      <c r="M238" s="16" t="s">
        <v>5040</v>
      </c>
      <c r="N238" s="16" t="s">
        <v>1459</v>
      </c>
    </row>
    <row r="239" spans="1:14" ht="20.100000000000001" customHeight="1" x14ac:dyDescent="0.25">
      <c r="A239" s="15" t="s">
        <v>5037</v>
      </c>
      <c r="B239" s="16" t="s">
        <v>286</v>
      </c>
      <c r="C239" s="15">
        <v>8303660</v>
      </c>
      <c r="D239" s="16" t="s">
        <v>313</v>
      </c>
      <c r="E239" s="15" t="s">
        <v>5122</v>
      </c>
      <c r="F239" s="21" t="str">
        <f>HYPERLINK("https://psearch.kitsapgov.com/webappa/index.html?parcelID=1881499&amp;Theme=Imagery","1881499")</f>
        <v>1881499</v>
      </c>
      <c r="G239" s="16" t="s">
        <v>107</v>
      </c>
      <c r="H239" s="17">
        <v>42515</v>
      </c>
      <c r="I239" s="18">
        <v>2800000</v>
      </c>
      <c r="J239" s="19">
        <v>0</v>
      </c>
      <c r="L239" s="16" t="s">
        <v>4645</v>
      </c>
      <c r="M239" s="16" t="s">
        <v>5040</v>
      </c>
      <c r="N239" s="16" t="s">
        <v>1459</v>
      </c>
    </row>
    <row r="240" spans="1:14" ht="20.100000000000001" customHeight="1" x14ac:dyDescent="0.25">
      <c r="A240" s="15" t="s">
        <v>5037</v>
      </c>
      <c r="B240" s="16" t="s">
        <v>286</v>
      </c>
      <c r="C240" s="15">
        <v>8303660</v>
      </c>
      <c r="D240" s="16" t="s">
        <v>313</v>
      </c>
      <c r="E240" s="15" t="s">
        <v>5123</v>
      </c>
      <c r="F240" s="21" t="str">
        <f>HYPERLINK("https://psearch.kitsapgov.com/webappa/index.html?parcelID=1881507&amp;Theme=Imagery","1881507")</f>
        <v>1881507</v>
      </c>
      <c r="G240" s="16" t="s">
        <v>107</v>
      </c>
      <c r="H240" s="17">
        <v>42515</v>
      </c>
      <c r="I240" s="18">
        <v>2800000</v>
      </c>
      <c r="J240" s="19">
        <v>0</v>
      </c>
      <c r="L240" s="16" t="s">
        <v>4645</v>
      </c>
      <c r="M240" s="16" t="s">
        <v>5040</v>
      </c>
      <c r="N240" s="16" t="s">
        <v>1459</v>
      </c>
    </row>
    <row r="241" spans="1:14" ht="20.100000000000001" customHeight="1" x14ac:dyDescent="0.25">
      <c r="A241" s="15" t="s">
        <v>5037</v>
      </c>
      <c r="B241" s="16" t="s">
        <v>286</v>
      </c>
      <c r="C241" s="15">
        <v>8303660</v>
      </c>
      <c r="D241" s="16" t="s">
        <v>313</v>
      </c>
      <c r="E241" s="15" t="s">
        <v>5124</v>
      </c>
      <c r="F241" s="21" t="str">
        <f>HYPERLINK("https://psearch.kitsapgov.com/webappa/index.html?parcelID=1881523&amp;Theme=Imagery","1881523")</f>
        <v>1881523</v>
      </c>
      <c r="G241" s="16" t="s">
        <v>107</v>
      </c>
      <c r="H241" s="17">
        <v>42515</v>
      </c>
      <c r="I241" s="18">
        <v>2800000</v>
      </c>
      <c r="J241" s="19">
        <v>0</v>
      </c>
      <c r="L241" s="16" t="s">
        <v>4645</v>
      </c>
      <c r="M241" s="16" t="s">
        <v>5040</v>
      </c>
      <c r="N241" s="16" t="s">
        <v>1459</v>
      </c>
    </row>
    <row r="242" spans="1:14" ht="20.100000000000001" customHeight="1" x14ac:dyDescent="0.25">
      <c r="A242" s="15" t="s">
        <v>5037</v>
      </c>
      <c r="B242" s="16" t="s">
        <v>286</v>
      </c>
      <c r="C242" s="15">
        <v>8303660</v>
      </c>
      <c r="D242" s="16" t="s">
        <v>313</v>
      </c>
      <c r="E242" s="15" t="s">
        <v>5125</v>
      </c>
      <c r="F242" s="21" t="str">
        <f>HYPERLINK("https://psearch.kitsapgov.com/webappa/index.html?parcelID=1881531&amp;Theme=Imagery","1881531")</f>
        <v>1881531</v>
      </c>
      <c r="G242" s="16" t="s">
        <v>107</v>
      </c>
      <c r="H242" s="17">
        <v>42515</v>
      </c>
      <c r="I242" s="18">
        <v>2800000</v>
      </c>
      <c r="J242" s="19">
        <v>0</v>
      </c>
      <c r="L242" s="16" t="s">
        <v>4645</v>
      </c>
      <c r="M242" s="16" t="s">
        <v>5040</v>
      </c>
      <c r="N242" s="16" t="s">
        <v>1459</v>
      </c>
    </row>
    <row r="243" spans="1:14" ht="20.100000000000001" customHeight="1" x14ac:dyDescent="0.25">
      <c r="A243" s="15" t="s">
        <v>5037</v>
      </c>
      <c r="B243" s="16" t="s">
        <v>286</v>
      </c>
      <c r="C243" s="15">
        <v>8303660</v>
      </c>
      <c r="D243" s="16" t="s">
        <v>313</v>
      </c>
      <c r="E243" s="15" t="s">
        <v>5126</v>
      </c>
      <c r="F243" s="21" t="str">
        <f>HYPERLINK("https://psearch.kitsapgov.com/webappa/index.html?parcelID=1881549&amp;Theme=Imagery","1881549")</f>
        <v>1881549</v>
      </c>
      <c r="G243" s="16" t="s">
        <v>107</v>
      </c>
      <c r="H243" s="17">
        <v>42515</v>
      </c>
      <c r="I243" s="18">
        <v>2800000</v>
      </c>
      <c r="J243" s="19">
        <v>0</v>
      </c>
      <c r="L243" s="16" t="s">
        <v>4645</v>
      </c>
      <c r="M243" s="16" t="s">
        <v>5040</v>
      </c>
      <c r="N243" s="16" t="s">
        <v>1459</v>
      </c>
    </row>
    <row r="244" spans="1:14" ht="20.100000000000001" customHeight="1" x14ac:dyDescent="0.25">
      <c r="A244" s="15" t="s">
        <v>5037</v>
      </c>
      <c r="B244" s="16" t="s">
        <v>286</v>
      </c>
      <c r="C244" s="15">
        <v>8303660</v>
      </c>
      <c r="D244" s="16" t="s">
        <v>313</v>
      </c>
      <c r="E244" s="15" t="s">
        <v>5127</v>
      </c>
      <c r="F244" s="21" t="str">
        <f>HYPERLINK("https://psearch.kitsapgov.com/webappa/index.html?parcelID=1881556&amp;Theme=Imagery","1881556")</f>
        <v>1881556</v>
      </c>
      <c r="G244" s="16" t="s">
        <v>107</v>
      </c>
      <c r="H244" s="17">
        <v>42515</v>
      </c>
      <c r="I244" s="18">
        <v>2800000</v>
      </c>
      <c r="J244" s="19">
        <v>0</v>
      </c>
      <c r="L244" s="16" t="s">
        <v>4645</v>
      </c>
      <c r="M244" s="16" t="s">
        <v>5040</v>
      </c>
      <c r="N244" s="16" t="s">
        <v>1459</v>
      </c>
    </row>
    <row r="245" spans="1:14" ht="20.100000000000001" customHeight="1" x14ac:dyDescent="0.25">
      <c r="A245" s="15" t="s">
        <v>5037</v>
      </c>
      <c r="B245" s="16" t="s">
        <v>286</v>
      </c>
      <c r="C245" s="15">
        <v>8303660</v>
      </c>
      <c r="D245" s="16" t="s">
        <v>313</v>
      </c>
      <c r="E245" s="15" t="s">
        <v>5128</v>
      </c>
      <c r="F245" s="21" t="str">
        <f>HYPERLINK("https://psearch.kitsapgov.com/webappa/index.html?parcelID=1881564&amp;Theme=Imagery","1881564")</f>
        <v>1881564</v>
      </c>
      <c r="G245" s="16" t="s">
        <v>107</v>
      </c>
      <c r="H245" s="17">
        <v>42515</v>
      </c>
      <c r="I245" s="18">
        <v>2800000</v>
      </c>
      <c r="J245" s="19">
        <v>0</v>
      </c>
      <c r="L245" s="16" t="s">
        <v>4645</v>
      </c>
      <c r="M245" s="16" t="s">
        <v>5040</v>
      </c>
      <c r="N245" s="16" t="s">
        <v>1459</v>
      </c>
    </row>
    <row r="246" spans="1:14" ht="20.100000000000001" customHeight="1" x14ac:dyDescent="0.25">
      <c r="A246" s="15" t="s">
        <v>5037</v>
      </c>
      <c r="B246" s="16" t="s">
        <v>286</v>
      </c>
      <c r="C246" s="15">
        <v>8303660</v>
      </c>
      <c r="D246" s="16" t="s">
        <v>313</v>
      </c>
      <c r="E246" s="15" t="s">
        <v>5129</v>
      </c>
      <c r="F246" s="21" t="str">
        <f>HYPERLINK("https://psearch.kitsapgov.com/webappa/index.html?parcelID=1881572&amp;Theme=Imagery","1881572")</f>
        <v>1881572</v>
      </c>
      <c r="G246" s="16" t="s">
        <v>107</v>
      </c>
      <c r="H246" s="17">
        <v>42515</v>
      </c>
      <c r="I246" s="18">
        <v>2800000</v>
      </c>
      <c r="J246" s="19">
        <v>0</v>
      </c>
      <c r="L246" s="16" t="s">
        <v>4645</v>
      </c>
      <c r="M246" s="16" t="s">
        <v>5040</v>
      </c>
      <c r="N246" s="16" t="s">
        <v>1459</v>
      </c>
    </row>
    <row r="247" spans="1:14" ht="20.100000000000001" customHeight="1" x14ac:dyDescent="0.25">
      <c r="A247" s="15" t="s">
        <v>5037</v>
      </c>
      <c r="B247" s="16" t="s">
        <v>286</v>
      </c>
      <c r="C247" s="15">
        <v>8303660</v>
      </c>
      <c r="D247" s="16" t="s">
        <v>313</v>
      </c>
      <c r="E247" s="15" t="s">
        <v>5130</v>
      </c>
      <c r="F247" s="21" t="str">
        <f>HYPERLINK("https://psearch.kitsapgov.com/webappa/index.html?parcelID=1881580&amp;Theme=Imagery","1881580")</f>
        <v>1881580</v>
      </c>
      <c r="G247" s="16" t="s">
        <v>107</v>
      </c>
      <c r="H247" s="17">
        <v>42515</v>
      </c>
      <c r="I247" s="18">
        <v>2800000</v>
      </c>
      <c r="J247" s="19">
        <v>0</v>
      </c>
      <c r="L247" s="16" t="s">
        <v>4645</v>
      </c>
      <c r="M247" s="16" t="s">
        <v>5040</v>
      </c>
      <c r="N247" s="16" t="s">
        <v>1459</v>
      </c>
    </row>
    <row r="248" spans="1:14" ht="20.100000000000001" customHeight="1" x14ac:dyDescent="0.25">
      <c r="A248" s="15" t="s">
        <v>5037</v>
      </c>
      <c r="B248" s="16" t="s">
        <v>286</v>
      </c>
      <c r="C248" s="15">
        <v>8303660</v>
      </c>
      <c r="D248" s="16" t="s">
        <v>313</v>
      </c>
      <c r="E248" s="15" t="s">
        <v>5131</v>
      </c>
      <c r="F248" s="21" t="str">
        <f>HYPERLINK("https://psearch.kitsapgov.com/webappa/index.html?parcelID=1881598&amp;Theme=Imagery","1881598")</f>
        <v>1881598</v>
      </c>
      <c r="G248" s="16" t="s">
        <v>107</v>
      </c>
      <c r="H248" s="17">
        <v>42515</v>
      </c>
      <c r="I248" s="18">
        <v>2800000</v>
      </c>
      <c r="J248" s="19">
        <v>0</v>
      </c>
      <c r="L248" s="16" t="s">
        <v>4645</v>
      </c>
      <c r="M248" s="16" t="s">
        <v>5040</v>
      </c>
      <c r="N248" s="16" t="s">
        <v>1459</v>
      </c>
    </row>
    <row r="249" spans="1:14" ht="20.100000000000001" customHeight="1" x14ac:dyDescent="0.25">
      <c r="A249" s="15" t="s">
        <v>5037</v>
      </c>
      <c r="B249" s="16" t="s">
        <v>286</v>
      </c>
      <c r="C249" s="15">
        <v>8303660</v>
      </c>
      <c r="D249" s="16" t="s">
        <v>313</v>
      </c>
      <c r="E249" s="15" t="s">
        <v>5132</v>
      </c>
      <c r="F249" s="21" t="str">
        <f>HYPERLINK("https://psearch.kitsapgov.com/webappa/index.html?parcelID=1881606&amp;Theme=Imagery","1881606")</f>
        <v>1881606</v>
      </c>
      <c r="G249" s="16" t="s">
        <v>107</v>
      </c>
      <c r="H249" s="17">
        <v>42515</v>
      </c>
      <c r="I249" s="18">
        <v>2800000</v>
      </c>
      <c r="J249" s="19">
        <v>0</v>
      </c>
      <c r="L249" s="16" t="s">
        <v>4645</v>
      </c>
      <c r="M249" s="16" t="s">
        <v>5040</v>
      </c>
      <c r="N249" s="16" t="s">
        <v>1459</v>
      </c>
    </row>
    <row r="250" spans="1:14" ht="20.100000000000001" customHeight="1" x14ac:dyDescent="0.25">
      <c r="A250" s="15" t="s">
        <v>5037</v>
      </c>
      <c r="B250" s="16" t="s">
        <v>286</v>
      </c>
      <c r="C250" s="15">
        <v>8303660</v>
      </c>
      <c r="D250" s="16" t="s">
        <v>313</v>
      </c>
      <c r="E250" s="15" t="s">
        <v>5133</v>
      </c>
      <c r="F250" s="21" t="str">
        <f>HYPERLINK("https://psearch.kitsapgov.com/webappa/index.html?parcelID=1881614&amp;Theme=Imagery","1881614")</f>
        <v>1881614</v>
      </c>
      <c r="G250" s="16" t="s">
        <v>107</v>
      </c>
      <c r="H250" s="17">
        <v>42515</v>
      </c>
      <c r="I250" s="18">
        <v>2800000</v>
      </c>
      <c r="J250" s="19">
        <v>0</v>
      </c>
      <c r="L250" s="16" t="s">
        <v>4645</v>
      </c>
      <c r="M250" s="16" t="s">
        <v>5040</v>
      </c>
      <c r="N250" s="16" t="s">
        <v>1459</v>
      </c>
    </row>
    <row r="251" spans="1:14" ht="20.100000000000001" customHeight="1" x14ac:dyDescent="0.25">
      <c r="A251" s="15" t="s">
        <v>5037</v>
      </c>
      <c r="B251" s="16" t="s">
        <v>286</v>
      </c>
      <c r="C251" s="15">
        <v>8303660</v>
      </c>
      <c r="D251" s="16" t="s">
        <v>313</v>
      </c>
      <c r="E251" s="15" t="s">
        <v>5134</v>
      </c>
      <c r="F251" s="21" t="str">
        <f>HYPERLINK("https://psearch.kitsapgov.com/webappa/index.html?parcelID=1881622&amp;Theme=Imagery","1881622")</f>
        <v>1881622</v>
      </c>
      <c r="G251" s="16" t="s">
        <v>107</v>
      </c>
      <c r="H251" s="17">
        <v>42515</v>
      </c>
      <c r="I251" s="18">
        <v>2800000</v>
      </c>
      <c r="J251" s="19">
        <v>0</v>
      </c>
      <c r="L251" s="16" t="s">
        <v>4645</v>
      </c>
      <c r="M251" s="16" t="s">
        <v>5040</v>
      </c>
      <c r="N251" s="16" t="s">
        <v>1459</v>
      </c>
    </row>
    <row r="252" spans="1:14" ht="20.100000000000001" customHeight="1" x14ac:dyDescent="0.25">
      <c r="A252" s="15" t="s">
        <v>5037</v>
      </c>
      <c r="B252" s="16" t="s">
        <v>286</v>
      </c>
      <c r="C252" s="15">
        <v>8303660</v>
      </c>
      <c r="D252" s="16" t="s">
        <v>313</v>
      </c>
      <c r="E252" s="15" t="s">
        <v>5135</v>
      </c>
      <c r="F252" s="21" t="str">
        <f>HYPERLINK("https://psearch.kitsapgov.com/webappa/index.html?parcelID=1881630&amp;Theme=Imagery","1881630")</f>
        <v>1881630</v>
      </c>
      <c r="G252" s="16" t="s">
        <v>107</v>
      </c>
      <c r="H252" s="17">
        <v>42515</v>
      </c>
      <c r="I252" s="18">
        <v>2800000</v>
      </c>
      <c r="J252" s="19">
        <v>0</v>
      </c>
      <c r="L252" s="16" t="s">
        <v>4645</v>
      </c>
      <c r="M252" s="16" t="s">
        <v>5040</v>
      </c>
      <c r="N252" s="16" t="s">
        <v>1459</v>
      </c>
    </row>
    <row r="253" spans="1:14" ht="39.950000000000003" customHeight="1" x14ac:dyDescent="0.25">
      <c r="A253" s="15" t="s">
        <v>5136</v>
      </c>
      <c r="B253" s="16" t="s">
        <v>306</v>
      </c>
      <c r="C253" s="15">
        <v>8303601</v>
      </c>
      <c r="D253" s="16" t="s">
        <v>50</v>
      </c>
      <c r="E253" s="15" t="s">
        <v>5137</v>
      </c>
      <c r="F253" s="21" t="str">
        <f>HYPERLINK("https://psearch.kitsapgov.com/webappa/index.html?parcelID=1287283&amp;Theme=Imagery","1287283")</f>
        <v>1287283</v>
      </c>
      <c r="G253" s="16" t="s">
        <v>5138</v>
      </c>
      <c r="H253" s="17">
        <v>42513</v>
      </c>
      <c r="I253" s="18">
        <v>5900000</v>
      </c>
      <c r="J253" s="19">
        <v>2</v>
      </c>
      <c r="K253" s="16" t="s">
        <v>1339</v>
      </c>
      <c r="L253" s="16" t="s">
        <v>4645</v>
      </c>
      <c r="M253" s="16" t="s">
        <v>5139</v>
      </c>
      <c r="N253" s="16" t="s">
        <v>5140</v>
      </c>
    </row>
    <row r="254" spans="1:14" ht="20.100000000000001" customHeight="1" x14ac:dyDescent="0.25">
      <c r="A254" s="15" t="s">
        <v>5136</v>
      </c>
      <c r="B254" s="16" t="s">
        <v>306</v>
      </c>
      <c r="C254" s="15">
        <v>8303601</v>
      </c>
      <c r="D254" s="16" t="s">
        <v>50</v>
      </c>
      <c r="E254" s="15" t="s">
        <v>5141</v>
      </c>
      <c r="F254" s="21" t="str">
        <f>HYPERLINK("https://psearch.kitsapgov.com/webappa/index.html?parcelID=1287291&amp;Theme=Imagery","1287291")</f>
        <v>1287291</v>
      </c>
      <c r="G254" s="16" t="s">
        <v>5142</v>
      </c>
      <c r="H254" s="17">
        <v>42513</v>
      </c>
      <c r="I254" s="18">
        <v>5900000</v>
      </c>
      <c r="J254" s="19">
        <v>1.19</v>
      </c>
      <c r="K254" s="16" t="s">
        <v>1339</v>
      </c>
      <c r="L254" s="16" t="s">
        <v>4645</v>
      </c>
      <c r="M254" s="16" t="s">
        <v>5139</v>
      </c>
      <c r="N254" s="16" t="s">
        <v>5140</v>
      </c>
    </row>
    <row r="255" spans="1:14" ht="20.100000000000001" customHeight="1" x14ac:dyDescent="0.25">
      <c r="A255" s="15" t="s">
        <v>5136</v>
      </c>
      <c r="B255" s="16" t="s">
        <v>306</v>
      </c>
      <c r="C255" s="15">
        <v>8303601</v>
      </c>
      <c r="D255" s="16" t="s">
        <v>50</v>
      </c>
      <c r="E255" s="15" t="s">
        <v>5143</v>
      </c>
      <c r="F255" s="21" t="str">
        <f>HYPERLINK("https://psearch.kitsapgov.com/webappa/index.html?parcelID=2331841&amp;Theme=Imagery","2331841")</f>
        <v>2331841</v>
      </c>
      <c r="G255" s="16" t="s">
        <v>5144</v>
      </c>
      <c r="H255" s="17">
        <v>42513</v>
      </c>
      <c r="I255" s="18">
        <v>5900000</v>
      </c>
      <c r="J255" s="19">
        <v>0.86</v>
      </c>
      <c r="K255" s="16" t="s">
        <v>1339</v>
      </c>
      <c r="L255" s="16" t="s">
        <v>4645</v>
      </c>
      <c r="M255" s="16" t="s">
        <v>5139</v>
      </c>
      <c r="N255" s="16" t="s">
        <v>5140</v>
      </c>
    </row>
    <row r="256" spans="1:14" ht="20.100000000000001" customHeight="1" x14ac:dyDescent="0.25">
      <c r="A256" s="15" t="s">
        <v>5136</v>
      </c>
      <c r="B256" s="16" t="s">
        <v>57</v>
      </c>
      <c r="C256" s="15">
        <v>8303601</v>
      </c>
      <c r="D256" s="16" t="s">
        <v>50</v>
      </c>
      <c r="E256" s="15" t="s">
        <v>5145</v>
      </c>
      <c r="F256" s="21" t="str">
        <f>HYPERLINK("https://psearch.kitsapgov.com/webappa/index.html?parcelID=2331858&amp;Theme=Imagery","2331858")</f>
        <v>2331858</v>
      </c>
      <c r="G256" s="16" t="s">
        <v>5146</v>
      </c>
      <c r="H256" s="17">
        <v>42513</v>
      </c>
      <c r="I256" s="18">
        <v>5900000</v>
      </c>
      <c r="J256" s="19">
        <v>0.64</v>
      </c>
      <c r="K256" s="16" t="s">
        <v>1339</v>
      </c>
      <c r="L256" s="16" t="s">
        <v>4645</v>
      </c>
      <c r="M256" s="16" t="s">
        <v>5139</v>
      </c>
      <c r="N256" s="16" t="s">
        <v>5140</v>
      </c>
    </row>
    <row r="257" spans="1:14" ht="39.950000000000003" customHeight="1" x14ac:dyDescent="0.25">
      <c r="A257" s="15" t="s">
        <v>5147</v>
      </c>
      <c r="B257" s="16" t="s">
        <v>33</v>
      </c>
      <c r="C257" s="15">
        <v>8400301</v>
      </c>
      <c r="D257" s="16" t="s">
        <v>1139</v>
      </c>
      <c r="E257" s="15" t="s">
        <v>5148</v>
      </c>
      <c r="F257" s="21" t="str">
        <f>HYPERLINK("https://psearch.kitsapgov.com/webappa/index.html?parcelID=1582063&amp;Theme=Imagery","1582063")</f>
        <v>1582063</v>
      </c>
      <c r="G257" s="16" t="s">
        <v>5149</v>
      </c>
      <c r="H257" s="17">
        <v>42523</v>
      </c>
      <c r="I257" s="18">
        <v>735000</v>
      </c>
      <c r="J257" s="19">
        <v>0.21</v>
      </c>
      <c r="K257" s="16" t="s">
        <v>1142</v>
      </c>
      <c r="L257" s="16" t="s">
        <v>4656</v>
      </c>
      <c r="M257" s="16" t="s">
        <v>5150</v>
      </c>
      <c r="N257" s="16" t="s">
        <v>1267</v>
      </c>
    </row>
    <row r="258" spans="1:14" ht="20.100000000000001" customHeight="1" x14ac:dyDescent="0.25">
      <c r="A258" s="15" t="s">
        <v>5147</v>
      </c>
      <c r="B258" s="16" t="s">
        <v>330</v>
      </c>
      <c r="C258" s="15">
        <v>8400301</v>
      </c>
      <c r="D258" s="16" t="s">
        <v>1139</v>
      </c>
      <c r="E258" s="15" t="s">
        <v>4396</v>
      </c>
      <c r="F258" s="21" t="str">
        <f>HYPERLINK("https://psearch.kitsapgov.com/webappa/index.html?parcelID=1583095&amp;Theme=Imagery","1583095")</f>
        <v>1583095</v>
      </c>
      <c r="G258" s="16" t="s">
        <v>4397</v>
      </c>
      <c r="H258" s="17">
        <v>42523</v>
      </c>
      <c r="I258" s="18">
        <v>735000</v>
      </c>
      <c r="J258" s="19">
        <v>0.05</v>
      </c>
      <c r="K258" s="16" t="s">
        <v>1142</v>
      </c>
      <c r="L258" s="16" t="s">
        <v>4656</v>
      </c>
      <c r="M258" s="16" t="s">
        <v>5150</v>
      </c>
      <c r="N258" s="16" t="s">
        <v>1267</v>
      </c>
    </row>
    <row r="259" spans="1:14" ht="39.950000000000003" customHeight="1" x14ac:dyDescent="0.25">
      <c r="A259" s="15" t="s">
        <v>5151</v>
      </c>
      <c r="B259" s="16" t="s">
        <v>57</v>
      </c>
      <c r="C259" s="15">
        <v>8402307</v>
      </c>
      <c r="D259" s="16" t="s">
        <v>151</v>
      </c>
      <c r="E259" s="15" t="s">
        <v>5152</v>
      </c>
      <c r="F259" s="21" t="str">
        <f>HYPERLINK("https://psearch.kitsapgov.com/webappa/index.html?parcelID=1209980&amp;Theme=Imagery","1209980")</f>
        <v>1209980</v>
      </c>
      <c r="G259" s="16" t="s">
        <v>5153</v>
      </c>
      <c r="H259" s="17">
        <v>42524</v>
      </c>
      <c r="I259" s="18">
        <v>67456</v>
      </c>
      <c r="J259" s="19">
        <v>0.64</v>
      </c>
      <c r="K259" s="16" t="s">
        <v>78</v>
      </c>
      <c r="L259" s="16" t="s">
        <v>129</v>
      </c>
      <c r="M259" s="16" t="s">
        <v>4561</v>
      </c>
      <c r="N259" s="16" t="s">
        <v>5154</v>
      </c>
    </row>
    <row r="260" spans="1:14" ht="20.100000000000001" customHeight="1" x14ac:dyDescent="0.25">
      <c r="A260" s="15" t="s">
        <v>5151</v>
      </c>
      <c r="B260" s="16" t="s">
        <v>57</v>
      </c>
      <c r="C260" s="15">
        <v>8402307</v>
      </c>
      <c r="D260" s="16" t="s">
        <v>151</v>
      </c>
      <c r="E260" s="15" t="s">
        <v>5155</v>
      </c>
      <c r="F260" s="21" t="str">
        <f>HYPERLINK("https://psearch.kitsapgov.com/webappa/index.html?parcelID=1209998&amp;Theme=Imagery","1209998")</f>
        <v>1209998</v>
      </c>
      <c r="G260" s="16" t="s">
        <v>5156</v>
      </c>
      <c r="H260" s="17">
        <v>42524</v>
      </c>
      <c r="I260" s="18">
        <v>67456</v>
      </c>
      <c r="J260" s="19">
        <v>0.57999999999999996</v>
      </c>
      <c r="K260" s="16" t="s">
        <v>78</v>
      </c>
      <c r="L260" s="16" t="s">
        <v>129</v>
      </c>
      <c r="M260" s="16" t="s">
        <v>4561</v>
      </c>
      <c r="N260" s="16" t="s">
        <v>5154</v>
      </c>
    </row>
    <row r="261" spans="1:14" ht="39.950000000000003" customHeight="1" x14ac:dyDescent="0.25">
      <c r="A261" s="15" t="s">
        <v>5157</v>
      </c>
      <c r="B261" s="16" t="s">
        <v>4676</v>
      </c>
      <c r="C261" s="15">
        <v>8100506</v>
      </c>
      <c r="D261" s="16" t="s">
        <v>25</v>
      </c>
      <c r="E261" s="15" t="s">
        <v>4677</v>
      </c>
      <c r="F261" s="21" t="str">
        <f>HYPERLINK("https://psearch.kitsapgov.com/webappa/index.html?parcelID=2370898&amp;Theme=Imagery","2370898")</f>
        <v>2370898</v>
      </c>
      <c r="G261" s="16" t="s">
        <v>4678</v>
      </c>
      <c r="H261" s="17">
        <v>42565</v>
      </c>
      <c r="I261" s="18">
        <v>3500000</v>
      </c>
      <c r="J261" s="19">
        <v>4.95</v>
      </c>
      <c r="K261" s="16" t="s">
        <v>28</v>
      </c>
      <c r="L261" s="16" t="s">
        <v>4656</v>
      </c>
      <c r="M261" s="16" t="s">
        <v>4679</v>
      </c>
      <c r="N261" s="16" t="s">
        <v>5158</v>
      </c>
    </row>
    <row r="262" spans="1:14" ht="20.100000000000001" customHeight="1" x14ac:dyDescent="0.25">
      <c r="A262" s="15" t="s">
        <v>5157</v>
      </c>
      <c r="B262" s="16" t="s">
        <v>330</v>
      </c>
      <c r="C262" s="15">
        <v>8100506</v>
      </c>
      <c r="D262" s="16" t="s">
        <v>25</v>
      </c>
      <c r="E262" s="15" t="s">
        <v>4680</v>
      </c>
      <c r="F262" s="21" t="str">
        <f>HYPERLINK("https://psearch.kitsapgov.com/webappa/index.html?parcelID=2394609&amp;Theme=Imagery","2394609")</f>
        <v>2394609</v>
      </c>
      <c r="G262" s="16" t="s">
        <v>4681</v>
      </c>
      <c r="H262" s="17">
        <v>42565</v>
      </c>
      <c r="I262" s="18">
        <v>3500000</v>
      </c>
      <c r="J262" s="19">
        <v>0.33</v>
      </c>
      <c r="K262" s="16" t="s">
        <v>28</v>
      </c>
      <c r="L262" s="16" t="s">
        <v>4656</v>
      </c>
      <c r="M262" s="16" t="s">
        <v>4679</v>
      </c>
      <c r="N262" s="16" t="s">
        <v>5158</v>
      </c>
    </row>
    <row r="263" spans="1:14" ht="39.950000000000003" customHeight="1" x14ac:dyDescent="0.25">
      <c r="A263" s="15" t="s">
        <v>5159</v>
      </c>
      <c r="B263" s="16" t="s">
        <v>2103</v>
      </c>
      <c r="C263" s="15">
        <v>8100502</v>
      </c>
      <c r="D263" s="16" t="s">
        <v>67</v>
      </c>
      <c r="E263" s="15" t="s">
        <v>5160</v>
      </c>
      <c r="F263" s="21" t="str">
        <f>HYPERLINK("https://psearch.kitsapgov.com/webappa/index.html?parcelID=1443415&amp;Theme=Imagery","1443415")</f>
        <v>1443415</v>
      </c>
      <c r="G263" s="16" t="s">
        <v>5161</v>
      </c>
      <c r="H263" s="17">
        <v>42562</v>
      </c>
      <c r="I263" s="18">
        <v>3140000</v>
      </c>
      <c r="J263" s="19">
        <v>3.18</v>
      </c>
      <c r="K263" s="16" t="s">
        <v>85</v>
      </c>
      <c r="L263" s="16" t="s">
        <v>4656</v>
      </c>
      <c r="M263" s="16" t="s">
        <v>5162</v>
      </c>
      <c r="N263" s="16" t="s">
        <v>5163</v>
      </c>
    </row>
    <row r="264" spans="1:14" ht="20.100000000000001" customHeight="1" x14ac:dyDescent="0.25">
      <c r="A264" s="15" t="s">
        <v>5159</v>
      </c>
      <c r="B264" s="16" t="s">
        <v>2103</v>
      </c>
      <c r="C264" s="15">
        <v>8100502</v>
      </c>
      <c r="D264" s="16" t="s">
        <v>67</v>
      </c>
      <c r="E264" s="15" t="s">
        <v>5164</v>
      </c>
      <c r="F264" s="21" t="str">
        <f>HYPERLINK("https://psearch.kitsapgov.com/webappa/index.html?parcelID=1443472&amp;Theme=Imagery","1443472")</f>
        <v>1443472</v>
      </c>
      <c r="G264" s="16" t="s">
        <v>5165</v>
      </c>
      <c r="H264" s="17">
        <v>42562</v>
      </c>
      <c r="I264" s="18">
        <v>3140000</v>
      </c>
      <c r="J264" s="19">
        <v>0.96</v>
      </c>
      <c r="K264" s="16" t="s">
        <v>85</v>
      </c>
      <c r="L264" s="16" t="s">
        <v>4656</v>
      </c>
      <c r="M264" s="16" t="s">
        <v>5162</v>
      </c>
      <c r="N264" s="16" t="s">
        <v>5163</v>
      </c>
    </row>
    <row r="265" spans="1:14" ht="39.950000000000003" customHeight="1" x14ac:dyDescent="0.25">
      <c r="A265" s="15" t="s">
        <v>5166</v>
      </c>
      <c r="B265" s="16" t="s">
        <v>330</v>
      </c>
      <c r="C265" s="15">
        <v>8100501</v>
      </c>
      <c r="D265" s="16" t="s">
        <v>117</v>
      </c>
      <c r="E265" s="15" t="s">
        <v>5167</v>
      </c>
      <c r="F265" s="21" t="str">
        <f>HYPERLINK("https://psearch.kitsapgov.com/webappa/index.html?parcelID=1426725&amp;Theme=Imagery","1426725")</f>
        <v>1426725</v>
      </c>
      <c r="G265" s="16" t="s">
        <v>5168</v>
      </c>
      <c r="H265" s="17">
        <v>42564</v>
      </c>
      <c r="I265" s="18">
        <v>1350000</v>
      </c>
      <c r="J265" s="19">
        <v>0.14000000000000001</v>
      </c>
      <c r="K265" s="16" t="s">
        <v>120</v>
      </c>
      <c r="L265" s="16" t="s">
        <v>4645</v>
      </c>
      <c r="M265" s="16" t="s">
        <v>1789</v>
      </c>
      <c r="N265" s="16" t="s">
        <v>5169</v>
      </c>
    </row>
    <row r="266" spans="1:14" ht="20.100000000000001" customHeight="1" x14ac:dyDescent="0.25">
      <c r="A266" s="15" t="s">
        <v>5166</v>
      </c>
      <c r="B266" s="16" t="s">
        <v>89</v>
      </c>
      <c r="C266" s="15">
        <v>8100501</v>
      </c>
      <c r="D266" s="16" t="s">
        <v>117</v>
      </c>
      <c r="E266" s="15" t="s">
        <v>2594</v>
      </c>
      <c r="F266" s="21" t="str">
        <f>HYPERLINK("https://psearch.kitsapgov.com/webappa/index.html?parcelID=1426949&amp;Theme=Imagery","1426949")</f>
        <v>1426949</v>
      </c>
      <c r="G266" s="16" t="s">
        <v>2595</v>
      </c>
      <c r="H266" s="17">
        <v>42564</v>
      </c>
      <c r="I266" s="18">
        <v>1350000</v>
      </c>
      <c r="J266" s="19">
        <v>7.0000000000000007E-2</v>
      </c>
      <c r="K266" s="16" t="s">
        <v>120</v>
      </c>
      <c r="L266" s="16" t="s">
        <v>4645</v>
      </c>
      <c r="M266" s="16" t="s">
        <v>1789</v>
      </c>
      <c r="N266" s="16" t="s">
        <v>5169</v>
      </c>
    </row>
    <row r="267" spans="1:14" ht="39.950000000000003" customHeight="1" x14ac:dyDescent="0.25">
      <c r="A267" s="15" t="s">
        <v>5170</v>
      </c>
      <c r="B267" s="16" t="s">
        <v>89</v>
      </c>
      <c r="C267" s="15">
        <v>8100501</v>
      </c>
      <c r="D267" s="16" t="s">
        <v>117</v>
      </c>
      <c r="E267" s="15" t="s">
        <v>2594</v>
      </c>
      <c r="F267" s="21" t="str">
        <f>HYPERLINK("https://psearch.kitsapgov.com/webappa/index.html?parcelID=1426949&amp;Theme=Imagery","1426949")</f>
        <v>1426949</v>
      </c>
      <c r="G267" s="16" t="s">
        <v>2595</v>
      </c>
      <c r="H267" s="17">
        <v>42549</v>
      </c>
      <c r="I267" s="18">
        <v>2050000</v>
      </c>
      <c r="J267" s="19">
        <v>7.0000000000000007E-2</v>
      </c>
      <c r="K267" s="16" t="s">
        <v>120</v>
      </c>
      <c r="L267" s="16" t="s">
        <v>246</v>
      </c>
      <c r="M267" s="16" t="s">
        <v>5171</v>
      </c>
      <c r="N267" s="16" t="s">
        <v>2185</v>
      </c>
    </row>
    <row r="268" spans="1:14" ht="39.950000000000003" customHeight="1" x14ac:dyDescent="0.25">
      <c r="A268" s="15" t="s">
        <v>5172</v>
      </c>
      <c r="B268" s="16" t="s">
        <v>66</v>
      </c>
      <c r="C268" s="15">
        <v>8100502</v>
      </c>
      <c r="D268" s="16" t="s">
        <v>67</v>
      </c>
      <c r="E268" s="15" t="s">
        <v>5173</v>
      </c>
      <c r="F268" s="21" t="str">
        <f>HYPERLINK("https://psearch.kitsapgov.com/webappa/index.html?parcelID=1151570&amp;Theme=Imagery","1151570")</f>
        <v>1151570</v>
      </c>
      <c r="G268" s="16" t="s">
        <v>5174</v>
      </c>
      <c r="H268" s="17">
        <v>42572</v>
      </c>
      <c r="I268" s="18">
        <v>2555604</v>
      </c>
      <c r="J268" s="19">
        <v>0.65</v>
      </c>
      <c r="K268" s="16" t="s">
        <v>173</v>
      </c>
      <c r="L268" s="16" t="s">
        <v>1933</v>
      </c>
      <c r="M268" s="16" t="s">
        <v>5175</v>
      </c>
      <c r="N268" s="16" t="s">
        <v>5176</v>
      </c>
    </row>
    <row r="269" spans="1:14" ht="20.100000000000001" customHeight="1" x14ac:dyDescent="0.25">
      <c r="A269" s="15" t="s">
        <v>5172</v>
      </c>
      <c r="B269" s="16" t="s">
        <v>66</v>
      </c>
      <c r="C269" s="15">
        <v>8100502</v>
      </c>
      <c r="D269" s="16" t="s">
        <v>67</v>
      </c>
      <c r="E269" s="15" t="s">
        <v>5177</v>
      </c>
      <c r="F269" s="21" t="str">
        <f>HYPERLINK("https://psearch.kitsapgov.com/webappa/index.html?parcelID=1151588&amp;Theme=Imagery","1151588")</f>
        <v>1151588</v>
      </c>
      <c r="G269" s="16" t="s">
        <v>5178</v>
      </c>
      <c r="H269" s="17">
        <v>42572</v>
      </c>
      <c r="I269" s="18">
        <v>2555604</v>
      </c>
      <c r="J269" s="19">
        <v>0.6</v>
      </c>
      <c r="K269" s="16" t="s">
        <v>173</v>
      </c>
      <c r="L269" s="16" t="s">
        <v>1933</v>
      </c>
      <c r="M269" s="16" t="s">
        <v>5175</v>
      </c>
      <c r="N269" s="16" t="s">
        <v>5176</v>
      </c>
    </row>
    <row r="270" spans="1:14" ht="20.100000000000001" customHeight="1" x14ac:dyDescent="0.25">
      <c r="A270" s="15" t="s">
        <v>5172</v>
      </c>
      <c r="B270" s="16" t="s">
        <v>330</v>
      </c>
      <c r="C270" s="15">
        <v>8100502</v>
      </c>
      <c r="D270" s="16" t="s">
        <v>67</v>
      </c>
      <c r="E270" s="15" t="s">
        <v>5179</v>
      </c>
      <c r="F270" s="21" t="str">
        <f>HYPERLINK("https://psearch.kitsapgov.com/webappa/index.html?parcelID=1151778&amp;Theme=Imagery","1151778")</f>
        <v>1151778</v>
      </c>
      <c r="G270" s="16" t="s">
        <v>5180</v>
      </c>
      <c r="H270" s="17">
        <v>42572</v>
      </c>
      <c r="I270" s="18">
        <v>2555604</v>
      </c>
      <c r="J270" s="19">
        <v>0.33</v>
      </c>
      <c r="K270" s="16" t="s">
        <v>173</v>
      </c>
      <c r="L270" s="16" t="s">
        <v>1933</v>
      </c>
      <c r="M270" s="16" t="s">
        <v>5175</v>
      </c>
      <c r="N270" s="16" t="s">
        <v>5176</v>
      </c>
    </row>
    <row r="271" spans="1:14" ht="39.950000000000003" customHeight="1" x14ac:dyDescent="0.25">
      <c r="A271" s="15" t="s">
        <v>5181</v>
      </c>
      <c r="B271" s="16" t="s">
        <v>214</v>
      </c>
      <c r="C271" s="15">
        <v>9100541</v>
      </c>
      <c r="D271" s="16" t="s">
        <v>215</v>
      </c>
      <c r="E271" s="15" t="s">
        <v>5182</v>
      </c>
      <c r="F271" s="21" t="str">
        <f>HYPERLINK("https://psearch.kitsapgov.com/webappa/index.html?parcelID=1455211&amp;Theme=Imagery","1455211")</f>
        <v>1455211</v>
      </c>
      <c r="G271" s="16" t="s">
        <v>5183</v>
      </c>
      <c r="H271" s="17">
        <v>42576</v>
      </c>
      <c r="I271" s="18">
        <v>1000000</v>
      </c>
      <c r="J271" s="19">
        <v>0.16</v>
      </c>
      <c r="K271" s="16" t="s">
        <v>235</v>
      </c>
      <c r="L271" s="16" t="s">
        <v>4645</v>
      </c>
      <c r="M271" s="16" t="s">
        <v>5184</v>
      </c>
      <c r="N271" s="16" t="s">
        <v>5185</v>
      </c>
    </row>
    <row r="272" spans="1:14" ht="20.100000000000001" customHeight="1" x14ac:dyDescent="0.25">
      <c r="A272" s="15" t="s">
        <v>5181</v>
      </c>
      <c r="B272" s="16" t="s">
        <v>214</v>
      </c>
      <c r="C272" s="15">
        <v>9100541</v>
      </c>
      <c r="D272" s="16" t="s">
        <v>215</v>
      </c>
      <c r="E272" s="15" t="s">
        <v>5186</v>
      </c>
      <c r="F272" s="21" t="str">
        <f>HYPERLINK("https://psearch.kitsapgov.com/webappa/index.html?parcelID=1455229&amp;Theme=Imagery","1455229")</f>
        <v>1455229</v>
      </c>
      <c r="G272" s="16" t="s">
        <v>5187</v>
      </c>
      <c r="H272" s="17">
        <v>42576</v>
      </c>
      <c r="I272" s="18">
        <v>1000000</v>
      </c>
      <c r="J272" s="19">
        <v>0.13</v>
      </c>
      <c r="K272" s="16" t="s">
        <v>235</v>
      </c>
      <c r="L272" s="16" t="s">
        <v>4645</v>
      </c>
      <c r="M272" s="16" t="s">
        <v>5184</v>
      </c>
      <c r="N272" s="16" t="s">
        <v>5185</v>
      </c>
    </row>
    <row r="273" spans="1:14" ht="39.950000000000003" customHeight="1" x14ac:dyDescent="0.25">
      <c r="A273" s="15" t="s">
        <v>5188</v>
      </c>
      <c r="B273" s="16" t="s">
        <v>57</v>
      </c>
      <c r="C273" s="15">
        <v>8402307</v>
      </c>
      <c r="D273" s="16" t="s">
        <v>151</v>
      </c>
      <c r="E273" s="15" t="s">
        <v>5189</v>
      </c>
      <c r="F273" s="21" t="str">
        <f>HYPERLINK("https://psearch.kitsapgov.com/webappa/index.html?parcelID=1761394&amp;Theme=Imagery","1761394")</f>
        <v>1761394</v>
      </c>
      <c r="G273" s="16" t="s">
        <v>5190</v>
      </c>
      <c r="H273" s="17">
        <v>42593</v>
      </c>
      <c r="I273" s="18">
        <v>400000</v>
      </c>
      <c r="J273" s="19">
        <v>0.49</v>
      </c>
      <c r="K273" s="16" t="s">
        <v>154</v>
      </c>
      <c r="L273" s="16" t="s">
        <v>4645</v>
      </c>
      <c r="M273" s="16" t="s">
        <v>5191</v>
      </c>
      <c r="N273" s="16" t="s">
        <v>5192</v>
      </c>
    </row>
    <row r="274" spans="1:14" ht="20.100000000000001" customHeight="1" x14ac:dyDescent="0.25">
      <c r="A274" s="15" t="s">
        <v>5188</v>
      </c>
      <c r="B274" s="16" t="s">
        <v>57</v>
      </c>
      <c r="C274" s="15">
        <v>8402307</v>
      </c>
      <c r="D274" s="16" t="s">
        <v>151</v>
      </c>
      <c r="E274" s="15" t="s">
        <v>5193</v>
      </c>
      <c r="F274" s="21" t="str">
        <f>HYPERLINK("https://psearch.kitsapgov.com/webappa/index.html?parcelID=1761402&amp;Theme=Imagery","1761402")</f>
        <v>1761402</v>
      </c>
      <c r="G274" s="16" t="s">
        <v>5194</v>
      </c>
      <c r="H274" s="17">
        <v>42593</v>
      </c>
      <c r="I274" s="18">
        <v>400000</v>
      </c>
      <c r="J274" s="19">
        <v>0.48</v>
      </c>
      <c r="K274" s="16" t="s">
        <v>154</v>
      </c>
      <c r="L274" s="16" t="s">
        <v>4645</v>
      </c>
      <c r="M274" s="16" t="s">
        <v>5191</v>
      </c>
      <c r="N274" s="16" t="s">
        <v>5192</v>
      </c>
    </row>
    <row r="275" spans="1:14" ht="39.950000000000003" customHeight="1" x14ac:dyDescent="0.25">
      <c r="A275" s="15" t="s">
        <v>5195</v>
      </c>
      <c r="B275" s="16" t="s">
        <v>265</v>
      </c>
      <c r="C275" s="15">
        <v>8303601</v>
      </c>
      <c r="D275" s="16" t="s">
        <v>50</v>
      </c>
      <c r="E275" s="15" t="s">
        <v>5196</v>
      </c>
      <c r="F275" s="21" t="str">
        <f>HYPERLINK("https://psearch.kitsapgov.com/webappa/index.html?parcelID=1306414&amp;Theme=Imagery","1306414")</f>
        <v>1306414</v>
      </c>
      <c r="G275" s="16" t="s">
        <v>5197</v>
      </c>
      <c r="H275" s="17">
        <v>42604</v>
      </c>
      <c r="I275" s="18">
        <v>3650000</v>
      </c>
      <c r="J275" s="19">
        <v>0.95</v>
      </c>
      <c r="K275" s="16" t="s">
        <v>326</v>
      </c>
      <c r="L275" s="16" t="s">
        <v>4645</v>
      </c>
      <c r="M275" s="16" t="s">
        <v>5198</v>
      </c>
      <c r="N275" s="16" t="s">
        <v>3287</v>
      </c>
    </row>
    <row r="276" spans="1:14" ht="20.100000000000001" customHeight="1" x14ac:dyDescent="0.25">
      <c r="A276" s="15" t="s">
        <v>5195</v>
      </c>
      <c r="B276" s="16" t="s">
        <v>330</v>
      </c>
      <c r="C276" s="15">
        <v>8303601</v>
      </c>
      <c r="D276" s="16" t="s">
        <v>50</v>
      </c>
      <c r="E276" s="15" t="s">
        <v>5199</v>
      </c>
      <c r="F276" s="21" t="str">
        <f>HYPERLINK("https://psearch.kitsapgov.com/webappa/index.html?parcelID=1517937&amp;Theme=Imagery","1517937")</f>
        <v>1517937</v>
      </c>
      <c r="G276" s="16" t="s">
        <v>5200</v>
      </c>
      <c r="H276" s="17">
        <v>42604</v>
      </c>
      <c r="I276" s="18">
        <v>3650000</v>
      </c>
      <c r="J276" s="19">
        <v>0.18</v>
      </c>
      <c r="K276" s="16" t="s">
        <v>326</v>
      </c>
      <c r="L276" s="16" t="s">
        <v>4645</v>
      </c>
      <c r="M276" s="16" t="s">
        <v>5198</v>
      </c>
      <c r="N276" s="16" t="s">
        <v>3287</v>
      </c>
    </row>
    <row r="277" spans="1:14" ht="39.950000000000003" customHeight="1" x14ac:dyDescent="0.25">
      <c r="A277" s="15" t="s">
        <v>5201</v>
      </c>
      <c r="B277" s="16" t="s">
        <v>49</v>
      </c>
      <c r="C277" s="15">
        <v>8401101</v>
      </c>
      <c r="D277" s="16" t="s">
        <v>185</v>
      </c>
      <c r="E277" s="15" t="s">
        <v>5202</v>
      </c>
      <c r="F277" s="21" t="str">
        <f>HYPERLINK("https://psearch.kitsapgov.com/webappa/index.html?parcelID=2512887&amp;Theme=Imagery","2512887")</f>
        <v>2512887</v>
      </c>
      <c r="G277" s="16" t="s">
        <v>5203</v>
      </c>
      <c r="H277" s="17">
        <v>42598</v>
      </c>
      <c r="I277" s="18">
        <v>3750000</v>
      </c>
      <c r="J277" s="19">
        <v>5.32</v>
      </c>
      <c r="K277" s="16" t="s">
        <v>78</v>
      </c>
      <c r="L277" s="16" t="s">
        <v>4645</v>
      </c>
      <c r="M277" s="16" t="s">
        <v>4752</v>
      </c>
      <c r="N277" s="16" t="s">
        <v>1928</v>
      </c>
    </row>
    <row r="278" spans="1:14" ht="20.100000000000001" customHeight="1" x14ac:dyDescent="0.25">
      <c r="A278" s="15" t="s">
        <v>5201</v>
      </c>
      <c r="B278" s="16" t="s">
        <v>49</v>
      </c>
      <c r="C278" s="15">
        <v>8401101</v>
      </c>
      <c r="D278" s="16" t="s">
        <v>185</v>
      </c>
      <c r="E278" s="15" t="s">
        <v>5204</v>
      </c>
      <c r="F278" s="21" t="str">
        <f>HYPERLINK("https://psearch.kitsapgov.com/webappa/index.html?parcelID=2512895&amp;Theme=Imagery","2512895")</f>
        <v>2512895</v>
      </c>
      <c r="G278" s="16" t="s">
        <v>5205</v>
      </c>
      <c r="H278" s="17">
        <v>42598</v>
      </c>
      <c r="I278" s="18">
        <v>3750000</v>
      </c>
      <c r="J278" s="19">
        <v>3.56</v>
      </c>
      <c r="K278" s="16" t="s">
        <v>78</v>
      </c>
      <c r="L278" s="16" t="s">
        <v>4645</v>
      </c>
      <c r="M278" s="16" t="s">
        <v>4752</v>
      </c>
      <c r="N278" s="16" t="s">
        <v>1928</v>
      </c>
    </row>
    <row r="279" spans="1:14" ht="39.950000000000003" customHeight="1" x14ac:dyDescent="0.25">
      <c r="A279" s="15" t="s">
        <v>5206</v>
      </c>
      <c r="B279" s="16" t="s">
        <v>57</v>
      </c>
      <c r="C279" s="15">
        <v>8401104</v>
      </c>
      <c r="D279" s="16" t="s">
        <v>144</v>
      </c>
      <c r="E279" s="15" t="s">
        <v>5207</v>
      </c>
      <c r="F279" s="21" t="str">
        <f>HYPERLINK("https://psearch.kitsapgov.com/webappa/index.html?parcelID=2055101&amp;Theme=Imagery","2055101")</f>
        <v>2055101</v>
      </c>
      <c r="G279" s="16" t="s">
        <v>5208</v>
      </c>
      <c r="H279" s="17">
        <v>42612</v>
      </c>
      <c r="I279" s="18">
        <v>275000</v>
      </c>
      <c r="J279" s="19">
        <v>0.77</v>
      </c>
      <c r="K279" s="16" t="s">
        <v>78</v>
      </c>
      <c r="L279" s="16" t="s">
        <v>4645</v>
      </c>
      <c r="M279" s="16" t="s">
        <v>1657</v>
      </c>
      <c r="N279" s="16" t="s">
        <v>415</v>
      </c>
    </row>
    <row r="280" spans="1:14" ht="20.100000000000001" customHeight="1" x14ac:dyDescent="0.25">
      <c r="A280" s="15" t="s">
        <v>5206</v>
      </c>
      <c r="B280" s="16" t="s">
        <v>57</v>
      </c>
      <c r="C280" s="15">
        <v>8401104</v>
      </c>
      <c r="D280" s="16" t="s">
        <v>144</v>
      </c>
      <c r="E280" s="15" t="s">
        <v>5209</v>
      </c>
      <c r="F280" s="21" t="str">
        <f>HYPERLINK("https://psearch.kitsapgov.com/webappa/index.html?parcelID=2055119&amp;Theme=Imagery","2055119")</f>
        <v>2055119</v>
      </c>
      <c r="G280" s="16" t="s">
        <v>5208</v>
      </c>
      <c r="H280" s="17">
        <v>42612</v>
      </c>
      <c r="I280" s="18">
        <v>275000</v>
      </c>
      <c r="J280" s="19">
        <v>0.59</v>
      </c>
      <c r="K280" s="16" t="s">
        <v>78</v>
      </c>
      <c r="L280" s="16" t="s">
        <v>4645</v>
      </c>
      <c r="M280" s="16" t="s">
        <v>1657</v>
      </c>
      <c r="N280" s="16" t="s">
        <v>415</v>
      </c>
    </row>
    <row r="281" spans="1:14" ht="20.100000000000001" customHeight="1" x14ac:dyDescent="0.25">
      <c r="A281" s="15" t="s">
        <v>5206</v>
      </c>
      <c r="B281" s="16" t="s">
        <v>57</v>
      </c>
      <c r="C281" s="15">
        <v>8401104</v>
      </c>
      <c r="D281" s="16" t="s">
        <v>144</v>
      </c>
      <c r="E281" s="15" t="s">
        <v>5210</v>
      </c>
      <c r="F281" s="21" t="str">
        <f>HYPERLINK("https://psearch.kitsapgov.com/webappa/index.html?parcelID=2055127&amp;Theme=Imagery","2055127")</f>
        <v>2055127</v>
      </c>
      <c r="G281" s="16" t="s">
        <v>5208</v>
      </c>
      <c r="H281" s="17">
        <v>42612</v>
      </c>
      <c r="I281" s="18">
        <v>275000</v>
      </c>
      <c r="J281" s="19">
        <v>1.24</v>
      </c>
      <c r="K281" s="16" t="s">
        <v>78</v>
      </c>
      <c r="L281" s="16" t="s">
        <v>4645</v>
      </c>
      <c r="M281" s="16" t="s">
        <v>1657</v>
      </c>
      <c r="N281" s="16" t="s">
        <v>415</v>
      </c>
    </row>
    <row r="282" spans="1:14" ht="20.100000000000001" customHeight="1" x14ac:dyDescent="0.25">
      <c r="A282" s="15" t="s">
        <v>5206</v>
      </c>
      <c r="B282" s="16" t="s">
        <v>57</v>
      </c>
      <c r="C282" s="15">
        <v>8401104</v>
      </c>
      <c r="D282" s="16" t="s">
        <v>144</v>
      </c>
      <c r="E282" s="15" t="s">
        <v>5211</v>
      </c>
      <c r="F282" s="21" t="str">
        <f>HYPERLINK("https://psearch.kitsapgov.com/webappa/index.html?parcelID=2055135&amp;Theme=Imagery","2055135")</f>
        <v>2055135</v>
      </c>
      <c r="G282" s="16" t="s">
        <v>5208</v>
      </c>
      <c r="H282" s="17">
        <v>42612</v>
      </c>
      <c r="I282" s="18">
        <v>275000</v>
      </c>
      <c r="J282" s="19">
        <v>1.41</v>
      </c>
      <c r="K282" s="16" t="s">
        <v>78</v>
      </c>
      <c r="L282" s="16" t="s">
        <v>4645</v>
      </c>
      <c r="M282" s="16" t="s">
        <v>1657</v>
      </c>
      <c r="N282" s="16" t="s">
        <v>415</v>
      </c>
    </row>
    <row r="283" spans="1:14" ht="39.950000000000003" customHeight="1" x14ac:dyDescent="0.25">
      <c r="A283" s="15" t="s">
        <v>5212</v>
      </c>
      <c r="B283" s="16" t="s">
        <v>57</v>
      </c>
      <c r="C283" s="15">
        <v>8400207</v>
      </c>
      <c r="D283" s="16" t="s">
        <v>998</v>
      </c>
      <c r="E283" s="15" t="s">
        <v>4765</v>
      </c>
      <c r="F283" s="21" t="str">
        <f>HYPERLINK("https://psearch.kitsapgov.com/webappa/index.html?parcelID=2455459&amp;Theme=Imagery","2455459")</f>
        <v>2455459</v>
      </c>
      <c r="G283" s="16" t="s">
        <v>4766</v>
      </c>
      <c r="H283" s="17">
        <v>42613</v>
      </c>
      <c r="I283" s="18">
        <v>8220000</v>
      </c>
      <c r="J283" s="19">
        <v>1.69</v>
      </c>
      <c r="K283" s="16" t="s">
        <v>100</v>
      </c>
      <c r="L283" s="16" t="s">
        <v>4645</v>
      </c>
      <c r="M283" s="16" t="s">
        <v>86</v>
      </c>
      <c r="N283" s="16" t="s">
        <v>5213</v>
      </c>
    </row>
    <row r="284" spans="1:14" ht="20.100000000000001" customHeight="1" x14ac:dyDescent="0.25">
      <c r="A284" s="15" t="s">
        <v>5212</v>
      </c>
      <c r="B284" s="16" t="s">
        <v>57</v>
      </c>
      <c r="C284" s="15">
        <v>8400207</v>
      </c>
      <c r="D284" s="16" t="s">
        <v>998</v>
      </c>
      <c r="E284" s="15" t="s">
        <v>4767</v>
      </c>
      <c r="F284" s="21" t="str">
        <f>HYPERLINK("https://psearch.kitsapgov.com/webappa/index.html?parcelID=2455467&amp;Theme=Imagery","2455467")</f>
        <v>2455467</v>
      </c>
      <c r="G284" s="16" t="s">
        <v>4768</v>
      </c>
      <c r="H284" s="17">
        <v>42613</v>
      </c>
      <c r="I284" s="18">
        <v>8220000</v>
      </c>
      <c r="J284" s="19">
        <v>1.93</v>
      </c>
      <c r="K284" s="16" t="s">
        <v>100</v>
      </c>
      <c r="L284" s="16" t="s">
        <v>4645</v>
      </c>
      <c r="M284" s="16" t="s">
        <v>86</v>
      </c>
      <c r="N284" s="16" t="s">
        <v>5213</v>
      </c>
    </row>
    <row r="285" spans="1:14" ht="20.100000000000001" customHeight="1" x14ac:dyDescent="0.25">
      <c r="A285" s="15" t="s">
        <v>5212</v>
      </c>
      <c r="B285" s="16" t="s">
        <v>57</v>
      </c>
      <c r="C285" s="15">
        <v>8400207</v>
      </c>
      <c r="D285" s="16" t="s">
        <v>998</v>
      </c>
      <c r="E285" s="15" t="s">
        <v>4769</v>
      </c>
      <c r="F285" s="21" t="str">
        <f>HYPERLINK("https://psearch.kitsapgov.com/webappa/index.html?parcelID=2455475&amp;Theme=Imagery","2455475")</f>
        <v>2455475</v>
      </c>
      <c r="G285" s="16" t="s">
        <v>4770</v>
      </c>
      <c r="H285" s="17">
        <v>42613</v>
      </c>
      <c r="I285" s="18">
        <v>8220000</v>
      </c>
      <c r="J285" s="19">
        <v>1.87</v>
      </c>
      <c r="K285" s="16" t="s">
        <v>100</v>
      </c>
      <c r="L285" s="16" t="s">
        <v>4645</v>
      </c>
      <c r="M285" s="16" t="s">
        <v>86</v>
      </c>
      <c r="N285" s="16" t="s">
        <v>5213</v>
      </c>
    </row>
    <row r="286" spans="1:14" ht="20.100000000000001" customHeight="1" x14ac:dyDescent="0.25">
      <c r="A286" s="15" t="s">
        <v>5212</v>
      </c>
      <c r="B286" s="16" t="s">
        <v>57</v>
      </c>
      <c r="C286" s="15">
        <v>8400207</v>
      </c>
      <c r="D286" s="16" t="s">
        <v>998</v>
      </c>
      <c r="E286" s="15" t="s">
        <v>4505</v>
      </c>
      <c r="F286" s="21" t="str">
        <f>HYPERLINK("https://psearch.kitsapgov.com/webappa/index.html?parcelID=2457216&amp;Theme=Imagery","2457216")</f>
        <v>2457216</v>
      </c>
      <c r="G286" s="16" t="s">
        <v>4506</v>
      </c>
      <c r="H286" s="17">
        <v>42613</v>
      </c>
      <c r="I286" s="18">
        <v>8220000</v>
      </c>
      <c r="J286" s="19">
        <v>0.94</v>
      </c>
      <c r="K286" s="16" t="s">
        <v>3537</v>
      </c>
      <c r="L286" s="16" t="s">
        <v>4645</v>
      </c>
      <c r="M286" s="16" t="s">
        <v>86</v>
      </c>
      <c r="N286" s="16" t="s">
        <v>5213</v>
      </c>
    </row>
    <row r="287" spans="1:14" ht="20.100000000000001" customHeight="1" x14ac:dyDescent="0.25">
      <c r="A287" s="15" t="s">
        <v>5212</v>
      </c>
      <c r="B287" s="16" t="s">
        <v>57</v>
      </c>
      <c r="C287" s="15">
        <v>8400207</v>
      </c>
      <c r="D287" s="16" t="s">
        <v>998</v>
      </c>
      <c r="E287" s="15" t="s">
        <v>4771</v>
      </c>
      <c r="F287" s="21" t="str">
        <f>HYPERLINK("https://psearch.kitsapgov.com/webappa/index.html?parcelID=2457232&amp;Theme=Imagery","2457232")</f>
        <v>2457232</v>
      </c>
      <c r="G287" s="16" t="s">
        <v>4772</v>
      </c>
      <c r="H287" s="17">
        <v>42613</v>
      </c>
      <c r="I287" s="18">
        <v>8220000</v>
      </c>
      <c r="J287" s="19">
        <v>0.83</v>
      </c>
      <c r="K287" s="16" t="s">
        <v>3537</v>
      </c>
      <c r="L287" s="16" t="s">
        <v>4645</v>
      </c>
      <c r="M287" s="16" t="s">
        <v>86</v>
      </c>
      <c r="N287" s="16" t="s">
        <v>5213</v>
      </c>
    </row>
    <row r="288" spans="1:14" ht="20.100000000000001" customHeight="1" x14ac:dyDescent="0.25">
      <c r="A288" s="15" t="s">
        <v>5212</v>
      </c>
      <c r="B288" s="16" t="s">
        <v>57</v>
      </c>
      <c r="C288" s="15">
        <v>8400207</v>
      </c>
      <c r="D288" s="16" t="s">
        <v>998</v>
      </c>
      <c r="E288" s="15" t="s">
        <v>4773</v>
      </c>
      <c r="F288" s="21" t="str">
        <f>HYPERLINK("https://psearch.kitsapgov.com/webappa/index.html?parcelID=2457240&amp;Theme=Imagery","2457240")</f>
        <v>2457240</v>
      </c>
      <c r="G288" s="16" t="s">
        <v>4774</v>
      </c>
      <c r="H288" s="17">
        <v>42613</v>
      </c>
      <c r="I288" s="18">
        <v>8220000</v>
      </c>
      <c r="J288" s="19">
        <v>0.83</v>
      </c>
      <c r="K288" s="16" t="s">
        <v>3537</v>
      </c>
      <c r="L288" s="16" t="s">
        <v>4645</v>
      </c>
      <c r="M288" s="16" t="s">
        <v>86</v>
      </c>
      <c r="N288" s="16" t="s">
        <v>5213</v>
      </c>
    </row>
    <row r="289" spans="1:14" ht="20.100000000000001" customHeight="1" x14ac:dyDescent="0.25">
      <c r="A289" s="15" t="s">
        <v>5212</v>
      </c>
      <c r="B289" s="16" t="s">
        <v>57</v>
      </c>
      <c r="C289" s="15">
        <v>8400207</v>
      </c>
      <c r="D289" s="16" t="s">
        <v>998</v>
      </c>
      <c r="E289" s="15" t="s">
        <v>4775</v>
      </c>
      <c r="F289" s="21" t="str">
        <f>HYPERLINK("https://psearch.kitsapgov.com/webappa/index.html?parcelID=2457257&amp;Theme=Imagery","2457257")</f>
        <v>2457257</v>
      </c>
      <c r="G289" s="16" t="s">
        <v>4776</v>
      </c>
      <c r="H289" s="17">
        <v>42613</v>
      </c>
      <c r="I289" s="18">
        <v>8220000</v>
      </c>
      <c r="J289" s="19">
        <v>0.84</v>
      </c>
      <c r="K289" s="16" t="s">
        <v>3537</v>
      </c>
      <c r="L289" s="16" t="s">
        <v>4645</v>
      </c>
      <c r="M289" s="16" t="s">
        <v>86</v>
      </c>
      <c r="N289" s="16" t="s">
        <v>5213</v>
      </c>
    </row>
    <row r="290" spans="1:14" ht="20.100000000000001" customHeight="1" x14ac:dyDescent="0.25">
      <c r="A290" s="15" t="s">
        <v>5212</v>
      </c>
      <c r="B290" s="16" t="s">
        <v>57</v>
      </c>
      <c r="C290" s="15">
        <v>8400207</v>
      </c>
      <c r="D290" s="16" t="s">
        <v>998</v>
      </c>
      <c r="E290" s="15" t="s">
        <v>4777</v>
      </c>
      <c r="F290" s="21" t="str">
        <f>HYPERLINK("https://psearch.kitsapgov.com/webappa/index.html?parcelID=2457265&amp;Theme=Imagery","2457265")</f>
        <v>2457265</v>
      </c>
      <c r="G290" s="16" t="s">
        <v>4778</v>
      </c>
      <c r="H290" s="17">
        <v>42613</v>
      </c>
      <c r="I290" s="18">
        <v>8220000</v>
      </c>
      <c r="J290" s="19">
        <v>1.97</v>
      </c>
      <c r="K290" s="16" t="s">
        <v>3537</v>
      </c>
      <c r="L290" s="16" t="s">
        <v>4645</v>
      </c>
      <c r="M290" s="16" t="s">
        <v>86</v>
      </c>
      <c r="N290" s="16" t="s">
        <v>5213</v>
      </c>
    </row>
    <row r="291" spans="1:14" ht="20.100000000000001" customHeight="1" x14ac:dyDescent="0.25">
      <c r="A291" s="15" t="s">
        <v>5212</v>
      </c>
      <c r="B291" s="16" t="s">
        <v>143</v>
      </c>
      <c r="C291" s="15">
        <v>8400207</v>
      </c>
      <c r="D291" s="16" t="s">
        <v>998</v>
      </c>
      <c r="E291" s="15" t="s">
        <v>4779</v>
      </c>
      <c r="F291" s="21" t="str">
        <f>HYPERLINK("https://psearch.kitsapgov.com/webappa/index.html?parcelID=2457315&amp;Theme=Imagery","2457315")</f>
        <v>2457315</v>
      </c>
      <c r="G291" s="16" t="s">
        <v>4780</v>
      </c>
      <c r="H291" s="17">
        <v>42613</v>
      </c>
      <c r="I291" s="18">
        <v>8220000</v>
      </c>
      <c r="J291" s="19">
        <v>1.83</v>
      </c>
      <c r="K291" s="16" t="s">
        <v>3537</v>
      </c>
      <c r="L291" s="16" t="s">
        <v>4645</v>
      </c>
      <c r="M291" s="16" t="s">
        <v>86</v>
      </c>
      <c r="N291" s="16" t="s">
        <v>5213</v>
      </c>
    </row>
    <row r="292" spans="1:14" ht="20.100000000000001" customHeight="1" x14ac:dyDescent="0.25">
      <c r="A292" s="15" t="s">
        <v>5212</v>
      </c>
      <c r="B292" s="16" t="s">
        <v>4781</v>
      </c>
      <c r="C292" s="15">
        <v>8400207</v>
      </c>
      <c r="D292" s="16" t="s">
        <v>998</v>
      </c>
      <c r="E292" s="15" t="s">
        <v>4782</v>
      </c>
      <c r="F292" s="21" t="str">
        <f>HYPERLINK("https://psearch.kitsapgov.com/webappa/index.html?parcelID=2457323&amp;Theme=Imagery","2457323")</f>
        <v>2457323</v>
      </c>
      <c r="G292" s="16" t="s">
        <v>4783</v>
      </c>
      <c r="H292" s="17">
        <v>42613</v>
      </c>
      <c r="I292" s="18">
        <v>8220000</v>
      </c>
      <c r="J292" s="19">
        <v>1.06</v>
      </c>
      <c r="K292" s="16" t="s">
        <v>3537</v>
      </c>
      <c r="L292" s="16" t="s">
        <v>4645</v>
      </c>
      <c r="M292" s="16" t="s">
        <v>86</v>
      </c>
      <c r="N292" s="16" t="s">
        <v>5213</v>
      </c>
    </row>
    <row r="293" spans="1:14" ht="20.100000000000001" customHeight="1" x14ac:dyDescent="0.25">
      <c r="A293" s="15" t="s">
        <v>5212</v>
      </c>
      <c r="B293" s="16" t="s">
        <v>4781</v>
      </c>
      <c r="C293" s="15">
        <v>8400207</v>
      </c>
      <c r="D293" s="16" t="s">
        <v>998</v>
      </c>
      <c r="E293" s="15" t="s">
        <v>4784</v>
      </c>
      <c r="F293" s="21" t="str">
        <f>HYPERLINK("https://psearch.kitsapgov.com/webappa/index.html?parcelID=2457331&amp;Theme=Imagery","2457331")</f>
        <v>2457331</v>
      </c>
      <c r="G293" s="16" t="s">
        <v>4785</v>
      </c>
      <c r="H293" s="17">
        <v>42613</v>
      </c>
      <c r="I293" s="18">
        <v>8220000</v>
      </c>
      <c r="J293" s="19">
        <v>1.78</v>
      </c>
      <c r="K293" s="16" t="s">
        <v>3537</v>
      </c>
      <c r="L293" s="16" t="s">
        <v>4645</v>
      </c>
      <c r="M293" s="16" t="s">
        <v>86</v>
      </c>
      <c r="N293" s="16" t="s">
        <v>5213</v>
      </c>
    </row>
    <row r="294" spans="1:14" ht="20.100000000000001" customHeight="1" x14ac:dyDescent="0.25">
      <c r="A294" s="15" t="s">
        <v>5212</v>
      </c>
      <c r="B294" s="16" t="s">
        <v>4781</v>
      </c>
      <c r="C294" s="15">
        <v>7400203</v>
      </c>
      <c r="D294" s="16" t="s">
        <v>4786</v>
      </c>
      <c r="E294" s="15" t="s">
        <v>4787</v>
      </c>
      <c r="F294" s="21" t="str">
        <f>HYPERLINK("https://psearch.kitsapgov.com/webappa/index.html?parcelID=2526010&amp;Theme=Imagery","2526010")</f>
        <v>2526010</v>
      </c>
      <c r="G294" s="16" t="s">
        <v>107</v>
      </c>
      <c r="H294" s="17">
        <v>42613</v>
      </c>
      <c r="I294" s="18">
        <v>8220000</v>
      </c>
      <c r="J294" s="19">
        <v>3.37</v>
      </c>
      <c r="K294" s="16" t="s">
        <v>4788</v>
      </c>
      <c r="L294" s="16" t="s">
        <v>4645</v>
      </c>
      <c r="M294" s="16" t="s">
        <v>86</v>
      </c>
      <c r="N294" s="16" t="s">
        <v>5213</v>
      </c>
    </row>
    <row r="295" spans="1:14" ht="20.100000000000001" customHeight="1" x14ac:dyDescent="0.25">
      <c r="A295" s="15" t="s">
        <v>5212</v>
      </c>
      <c r="B295" s="16" t="s">
        <v>57</v>
      </c>
      <c r="C295" s="15">
        <v>7400203</v>
      </c>
      <c r="D295" s="16" t="s">
        <v>4786</v>
      </c>
      <c r="E295" s="15" t="s">
        <v>4789</v>
      </c>
      <c r="F295" s="21" t="str">
        <f>HYPERLINK("https://psearch.kitsapgov.com/webappa/index.html?parcelID=2526028&amp;Theme=Imagery","2526028")</f>
        <v>2526028</v>
      </c>
      <c r="G295" s="16" t="s">
        <v>107</v>
      </c>
      <c r="H295" s="17">
        <v>42613</v>
      </c>
      <c r="I295" s="18">
        <v>8220000</v>
      </c>
      <c r="J295" s="19">
        <v>4.05</v>
      </c>
      <c r="K295" s="16" t="s">
        <v>4788</v>
      </c>
      <c r="L295" s="16" t="s">
        <v>4645</v>
      </c>
      <c r="M295" s="16" t="s">
        <v>86</v>
      </c>
      <c r="N295" s="16" t="s">
        <v>5213</v>
      </c>
    </row>
    <row r="296" spans="1:14" ht="20.100000000000001" customHeight="1" x14ac:dyDescent="0.25">
      <c r="A296" s="15" t="s">
        <v>5212</v>
      </c>
      <c r="B296" s="16" t="s">
        <v>57</v>
      </c>
      <c r="C296" s="15">
        <v>7400203</v>
      </c>
      <c r="D296" s="16" t="s">
        <v>4786</v>
      </c>
      <c r="E296" s="15" t="s">
        <v>4790</v>
      </c>
      <c r="F296" s="21" t="str">
        <f>HYPERLINK("https://psearch.kitsapgov.com/webappa/index.html?parcelID=2526036&amp;Theme=Imagery","2526036")</f>
        <v>2526036</v>
      </c>
      <c r="G296" s="16" t="s">
        <v>107</v>
      </c>
      <c r="H296" s="17">
        <v>42613</v>
      </c>
      <c r="I296" s="18">
        <v>8220000</v>
      </c>
      <c r="J296" s="19">
        <v>0.6</v>
      </c>
      <c r="K296" s="16" t="s">
        <v>4788</v>
      </c>
      <c r="L296" s="16" t="s">
        <v>4645</v>
      </c>
      <c r="M296" s="16" t="s">
        <v>86</v>
      </c>
      <c r="N296" s="16" t="s">
        <v>5213</v>
      </c>
    </row>
    <row r="297" spans="1:14" ht="20.100000000000001" customHeight="1" x14ac:dyDescent="0.25">
      <c r="A297" s="15" t="s">
        <v>5212</v>
      </c>
      <c r="B297" s="16" t="s">
        <v>57</v>
      </c>
      <c r="C297" s="15">
        <v>8400207</v>
      </c>
      <c r="D297" s="16" t="s">
        <v>998</v>
      </c>
      <c r="E297" s="15" t="s">
        <v>4791</v>
      </c>
      <c r="F297" s="21" t="str">
        <f>HYPERLINK("https://psearch.kitsapgov.com/webappa/index.html?parcelID=2455293&amp;Theme=Imagery","2455293")</f>
        <v>2455293</v>
      </c>
      <c r="G297" s="16" t="s">
        <v>4792</v>
      </c>
      <c r="H297" s="17">
        <v>42613</v>
      </c>
      <c r="I297" s="18">
        <v>8220000</v>
      </c>
      <c r="J297" s="19">
        <v>1.26</v>
      </c>
      <c r="K297" s="16" t="s">
        <v>100</v>
      </c>
      <c r="L297" s="16" t="s">
        <v>4645</v>
      </c>
      <c r="M297" s="16" t="s">
        <v>86</v>
      </c>
      <c r="N297" s="16" t="s">
        <v>5213</v>
      </c>
    </row>
    <row r="298" spans="1:14" ht="20.100000000000001" customHeight="1" x14ac:dyDescent="0.25">
      <c r="A298" s="15" t="s">
        <v>5212</v>
      </c>
      <c r="B298" s="16" t="s">
        <v>57</v>
      </c>
      <c r="C298" s="15">
        <v>8400207</v>
      </c>
      <c r="D298" s="16" t="s">
        <v>998</v>
      </c>
      <c r="E298" s="15" t="s">
        <v>4793</v>
      </c>
      <c r="F298" s="21" t="str">
        <f>HYPERLINK("https://psearch.kitsapgov.com/webappa/index.html?parcelID=2455301&amp;Theme=Imagery","2455301")</f>
        <v>2455301</v>
      </c>
      <c r="G298" s="16" t="s">
        <v>4794</v>
      </c>
      <c r="H298" s="17">
        <v>42613</v>
      </c>
      <c r="I298" s="18">
        <v>8220000</v>
      </c>
      <c r="J298" s="19">
        <v>0.39</v>
      </c>
      <c r="K298" s="16" t="s">
        <v>100</v>
      </c>
      <c r="L298" s="16" t="s">
        <v>4645</v>
      </c>
      <c r="M298" s="16" t="s">
        <v>86</v>
      </c>
      <c r="N298" s="16" t="s">
        <v>5213</v>
      </c>
    </row>
    <row r="299" spans="1:14" ht="20.100000000000001" customHeight="1" x14ac:dyDescent="0.25">
      <c r="A299" s="15" t="s">
        <v>5212</v>
      </c>
      <c r="B299" s="16" t="s">
        <v>57</v>
      </c>
      <c r="C299" s="15">
        <v>8400207</v>
      </c>
      <c r="D299" s="16" t="s">
        <v>998</v>
      </c>
      <c r="E299" s="15" t="s">
        <v>4795</v>
      </c>
      <c r="F299" s="21" t="str">
        <f>HYPERLINK("https://psearch.kitsapgov.com/webappa/index.html?parcelID=2455335&amp;Theme=Imagery","2455335")</f>
        <v>2455335</v>
      </c>
      <c r="G299" s="16" t="s">
        <v>4796</v>
      </c>
      <c r="H299" s="17">
        <v>42613</v>
      </c>
      <c r="I299" s="18">
        <v>8220000</v>
      </c>
      <c r="J299" s="19">
        <v>0.39</v>
      </c>
      <c r="K299" s="16" t="s">
        <v>100</v>
      </c>
      <c r="L299" s="16" t="s">
        <v>4645</v>
      </c>
      <c r="M299" s="16" t="s">
        <v>86</v>
      </c>
      <c r="N299" s="16" t="s">
        <v>5213</v>
      </c>
    </row>
    <row r="300" spans="1:14" ht="20.100000000000001" customHeight="1" x14ac:dyDescent="0.25">
      <c r="A300" s="15" t="s">
        <v>5212</v>
      </c>
      <c r="B300" s="16" t="s">
        <v>57</v>
      </c>
      <c r="C300" s="15">
        <v>8400207</v>
      </c>
      <c r="D300" s="16" t="s">
        <v>998</v>
      </c>
      <c r="E300" s="15" t="s">
        <v>4797</v>
      </c>
      <c r="F300" s="21" t="str">
        <f>HYPERLINK("https://psearch.kitsapgov.com/webappa/index.html?parcelID=2455343&amp;Theme=Imagery","2455343")</f>
        <v>2455343</v>
      </c>
      <c r="G300" s="16" t="s">
        <v>4798</v>
      </c>
      <c r="H300" s="17">
        <v>42613</v>
      </c>
      <c r="I300" s="18">
        <v>8220000</v>
      </c>
      <c r="J300" s="19">
        <v>1.1299999999999999</v>
      </c>
      <c r="K300" s="16" t="s">
        <v>100</v>
      </c>
      <c r="L300" s="16" t="s">
        <v>4645</v>
      </c>
      <c r="M300" s="16" t="s">
        <v>86</v>
      </c>
      <c r="N300" s="16" t="s">
        <v>5213</v>
      </c>
    </row>
    <row r="301" spans="1:14" ht="20.100000000000001" customHeight="1" x14ac:dyDescent="0.25">
      <c r="A301" s="15" t="s">
        <v>5212</v>
      </c>
      <c r="B301" s="16" t="s">
        <v>57</v>
      </c>
      <c r="C301" s="15">
        <v>8400207</v>
      </c>
      <c r="D301" s="16" t="s">
        <v>998</v>
      </c>
      <c r="E301" s="15" t="s">
        <v>4799</v>
      </c>
      <c r="F301" s="21" t="str">
        <f>HYPERLINK("https://psearch.kitsapgov.com/webappa/index.html?parcelID=2455350&amp;Theme=Imagery","2455350")</f>
        <v>2455350</v>
      </c>
      <c r="G301" s="16" t="s">
        <v>4800</v>
      </c>
      <c r="H301" s="17">
        <v>42613</v>
      </c>
      <c r="I301" s="18">
        <v>8220000</v>
      </c>
      <c r="J301" s="19">
        <v>0.83</v>
      </c>
      <c r="K301" s="16" t="s">
        <v>100</v>
      </c>
      <c r="L301" s="16" t="s">
        <v>4645</v>
      </c>
      <c r="M301" s="16" t="s">
        <v>86</v>
      </c>
      <c r="N301" s="16" t="s">
        <v>5213</v>
      </c>
    </row>
    <row r="302" spans="1:14" ht="20.100000000000001" customHeight="1" x14ac:dyDescent="0.25">
      <c r="A302" s="15" t="s">
        <v>5212</v>
      </c>
      <c r="B302" s="16" t="s">
        <v>57</v>
      </c>
      <c r="C302" s="15">
        <v>8400207</v>
      </c>
      <c r="D302" s="16" t="s">
        <v>998</v>
      </c>
      <c r="E302" s="15" t="s">
        <v>4801</v>
      </c>
      <c r="F302" s="21" t="str">
        <f>HYPERLINK("https://psearch.kitsapgov.com/webappa/index.html?parcelID=2455368&amp;Theme=Imagery","2455368")</f>
        <v>2455368</v>
      </c>
      <c r="G302" s="16" t="s">
        <v>4802</v>
      </c>
      <c r="H302" s="17">
        <v>42613</v>
      </c>
      <c r="I302" s="18">
        <v>8220000</v>
      </c>
      <c r="J302" s="19">
        <v>0.83</v>
      </c>
      <c r="K302" s="16" t="s">
        <v>100</v>
      </c>
      <c r="L302" s="16" t="s">
        <v>4645</v>
      </c>
      <c r="M302" s="16" t="s">
        <v>86</v>
      </c>
      <c r="N302" s="16" t="s">
        <v>5213</v>
      </c>
    </row>
    <row r="303" spans="1:14" ht="20.100000000000001" customHeight="1" x14ac:dyDescent="0.25">
      <c r="A303" s="15" t="s">
        <v>5212</v>
      </c>
      <c r="B303" s="16" t="s">
        <v>57</v>
      </c>
      <c r="C303" s="15">
        <v>8400207</v>
      </c>
      <c r="D303" s="16" t="s">
        <v>998</v>
      </c>
      <c r="E303" s="15" t="s">
        <v>4803</v>
      </c>
      <c r="F303" s="21" t="str">
        <f>HYPERLINK("https://psearch.kitsapgov.com/webappa/index.html?parcelID=2455376&amp;Theme=Imagery","2455376")</f>
        <v>2455376</v>
      </c>
      <c r="G303" s="16" t="s">
        <v>4804</v>
      </c>
      <c r="H303" s="17">
        <v>42613</v>
      </c>
      <c r="I303" s="18">
        <v>8220000</v>
      </c>
      <c r="J303" s="19">
        <v>0.95</v>
      </c>
      <c r="K303" s="16" t="s">
        <v>100</v>
      </c>
      <c r="L303" s="16" t="s">
        <v>4645</v>
      </c>
      <c r="M303" s="16" t="s">
        <v>86</v>
      </c>
      <c r="N303" s="16" t="s">
        <v>5213</v>
      </c>
    </row>
    <row r="304" spans="1:14" ht="20.100000000000001" customHeight="1" x14ac:dyDescent="0.25">
      <c r="A304" s="15" t="s">
        <v>5212</v>
      </c>
      <c r="B304" s="16" t="s">
        <v>57</v>
      </c>
      <c r="C304" s="15">
        <v>8400207</v>
      </c>
      <c r="D304" s="16" t="s">
        <v>998</v>
      </c>
      <c r="E304" s="15" t="s">
        <v>4805</v>
      </c>
      <c r="F304" s="21" t="str">
        <f>HYPERLINK("https://psearch.kitsapgov.com/webappa/index.html?parcelID=2455392&amp;Theme=Imagery","2455392")</f>
        <v>2455392</v>
      </c>
      <c r="G304" s="16" t="s">
        <v>4806</v>
      </c>
      <c r="H304" s="17">
        <v>42613</v>
      </c>
      <c r="I304" s="18">
        <v>8220000</v>
      </c>
      <c r="J304" s="19">
        <v>1.37</v>
      </c>
      <c r="K304" s="16" t="s">
        <v>100</v>
      </c>
      <c r="L304" s="16" t="s">
        <v>4645</v>
      </c>
      <c r="M304" s="16" t="s">
        <v>86</v>
      </c>
      <c r="N304" s="16" t="s">
        <v>5213</v>
      </c>
    </row>
    <row r="305" spans="1:14" ht="20.100000000000001" customHeight="1" x14ac:dyDescent="0.25">
      <c r="A305" s="15" t="s">
        <v>5212</v>
      </c>
      <c r="B305" s="16" t="s">
        <v>57</v>
      </c>
      <c r="C305" s="15">
        <v>8400207</v>
      </c>
      <c r="D305" s="16" t="s">
        <v>998</v>
      </c>
      <c r="E305" s="15" t="s">
        <v>4807</v>
      </c>
      <c r="F305" s="21" t="str">
        <f>HYPERLINK("https://psearch.kitsapgov.com/webappa/index.html?parcelID=2455400&amp;Theme=Imagery","2455400")</f>
        <v>2455400</v>
      </c>
      <c r="G305" s="16" t="s">
        <v>4808</v>
      </c>
      <c r="H305" s="17">
        <v>42613</v>
      </c>
      <c r="I305" s="18">
        <v>8220000</v>
      </c>
      <c r="J305" s="19">
        <v>1.05</v>
      </c>
      <c r="K305" s="16" t="s">
        <v>100</v>
      </c>
      <c r="L305" s="16" t="s">
        <v>4645</v>
      </c>
      <c r="M305" s="16" t="s">
        <v>86</v>
      </c>
      <c r="N305" s="16" t="s">
        <v>5213</v>
      </c>
    </row>
    <row r="306" spans="1:14" ht="20.100000000000001" customHeight="1" x14ac:dyDescent="0.25">
      <c r="A306" s="15" t="s">
        <v>5212</v>
      </c>
      <c r="B306" s="16" t="s">
        <v>57</v>
      </c>
      <c r="C306" s="15">
        <v>8400207</v>
      </c>
      <c r="D306" s="16" t="s">
        <v>998</v>
      </c>
      <c r="E306" s="15" t="s">
        <v>4809</v>
      </c>
      <c r="F306" s="21" t="str">
        <f>HYPERLINK("https://psearch.kitsapgov.com/webappa/index.html?parcelID=2455434&amp;Theme=Imagery","2455434")</f>
        <v>2455434</v>
      </c>
      <c r="G306" s="16" t="s">
        <v>4810</v>
      </c>
      <c r="H306" s="17">
        <v>42613</v>
      </c>
      <c r="I306" s="18">
        <v>8220000</v>
      </c>
      <c r="J306" s="19">
        <v>1.19</v>
      </c>
      <c r="K306" s="16" t="s">
        <v>100</v>
      </c>
      <c r="L306" s="16" t="s">
        <v>4645</v>
      </c>
      <c r="M306" s="16" t="s">
        <v>86</v>
      </c>
      <c r="N306" s="16" t="s">
        <v>5213</v>
      </c>
    </row>
    <row r="307" spans="1:14" ht="20.100000000000001" customHeight="1" x14ac:dyDescent="0.25">
      <c r="A307" s="15" t="s">
        <v>5212</v>
      </c>
      <c r="B307" s="16" t="s">
        <v>57</v>
      </c>
      <c r="C307" s="15">
        <v>8400207</v>
      </c>
      <c r="D307" s="16" t="s">
        <v>998</v>
      </c>
      <c r="E307" s="15" t="s">
        <v>4811</v>
      </c>
      <c r="F307" s="21" t="str">
        <f>HYPERLINK("https://psearch.kitsapgov.com/webappa/index.html?parcelID=2455442&amp;Theme=Imagery","2455442")</f>
        <v>2455442</v>
      </c>
      <c r="G307" s="16" t="s">
        <v>4812</v>
      </c>
      <c r="H307" s="17">
        <v>42613</v>
      </c>
      <c r="I307" s="18">
        <v>8220000</v>
      </c>
      <c r="J307" s="19">
        <v>1.2</v>
      </c>
      <c r="K307" s="16" t="s">
        <v>100</v>
      </c>
      <c r="L307" s="16" t="s">
        <v>4645</v>
      </c>
      <c r="M307" s="16" t="s">
        <v>86</v>
      </c>
      <c r="N307" s="16" t="s">
        <v>5213</v>
      </c>
    </row>
    <row r="308" spans="1:14" ht="20.100000000000001" customHeight="1" x14ac:dyDescent="0.25">
      <c r="A308" s="15" t="s">
        <v>5212</v>
      </c>
      <c r="B308" s="16" t="s">
        <v>57</v>
      </c>
      <c r="C308" s="15">
        <v>8400207</v>
      </c>
      <c r="D308" s="16" t="s">
        <v>998</v>
      </c>
      <c r="E308" s="15" t="s">
        <v>4813</v>
      </c>
      <c r="F308" s="21" t="str">
        <f>HYPERLINK("https://psearch.kitsapgov.com/webappa/index.html?parcelID=2457091&amp;Theme=Imagery","2457091")</f>
        <v>2457091</v>
      </c>
      <c r="G308" s="16" t="s">
        <v>4814</v>
      </c>
      <c r="H308" s="17">
        <v>42613</v>
      </c>
      <c r="I308" s="18">
        <v>8220000</v>
      </c>
      <c r="J308" s="19">
        <v>1.34</v>
      </c>
      <c r="K308" s="16" t="s">
        <v>3537</v>
      </c>
      <c r="L308" s="16" t="s">
        <v>4645</v>
      </c>
      <c r="M308" s="16" t="s">
        <v>86</v>
      </c>
      <c r="N308" s="16" t="s">
        <v>5213</v>
      </c>
    </row>
    <row r="309" spans="1:14" ht="20.100000000000001" customHeight="1" x14ac:dyDescent="0.25">
      <c r="A309" s="15" t="s">
        <v>5212</v>
      </c>
      <c r="B309" s="16" t="s">
        <v>57</v>
      </c>
      <c r="C309" s="15">
        <v>8400207</v>
      </c>
      <c r="D309" s="16" t="s">
        <v>998</v>
      </c>
      <c r="E309" s="15" t="s">
        <v>4815</v>
      </c>
      <c r="F309" s="21" t="str">
        <f>HYPERLINK("https://psearch.kitsapgov.com/webappa/index.html?parcelID=2457125&amp;Theme=Imagery","2457125")</f>
        <v>2457125</v>
      </c>
      <c r="G309" s="16" t="s">
        <v>4816</v>
      </c>
      <c r="H309" s="17">
        <v>42613</v>
      </c>
      <c r="I309" s="18">
        <v>8220000</v>
      </c>
      <c r="J309" s="19">
        <v>1.2</v>
      </c>
      <c r="K309" s="16" t="s">
        <v>3537</v>
      </c>
      <c r="L309" s="16" t="s">
        <v>4645</v>
      </c>
      <c r="M309" s="16" t="s">
        <v>86</v>
      </c>
      <c r="N309" s="16" t="s">
        <v>5213</v>
      </c>
    </row>
    <row r="310" spans="1:14" ht="20.100000000000001" customHeight="1" x14ac:dyDescent="0.25">
      <c r="A310" s="15" t="s">
        <v>5212</v>
      </c>
      <c r="B310" s="16" t="s">
        <v>57</v>
      </c>
      <c r="C310" s="15">
        <v>8400207</v>
      </c>
      <c r="D310" s="16" t="s">
        <v>998</v>
      </c>
      <c r="E310" s="15" t="s">
        <v>4817</v>
      </c>
      <c r="F310" s="21" t="str">
        <f>HYPERLINK("https://psearch.kitsapgov.com/webappa/index.html?parcelID=2457133&amp;Theme=Imagery","2457133")</f>
        <v>2457133</v>
      </c>
      <c r="G310" s="16" t="s">
        <v>4818</v>
      </c>
      <c r="H310" s="17">
        <v>42613</v>
      </c>
      <c r="I310" s="18">
        <v>8220000</v>
      </c>
      <c r="J310" s="19">
        <v>1.2</v>
      </c>
      <c r="K310" s="16" t="s">
        <v>3537</v>
      </c>
      <c r="L310" s="16" t="s">
        <v>4645</v>
      </c>
      <c r="M310" s="16" t="s">
        <v>86</v>
      </c>
      <c r="N310" s="16" t="s">
        <v>5213</v>
      </c>
    </row>
    <row r="311" spans="1:14" ht="20.100000000000001" customHeight="1" x14ac:dyDescent="0.25">
      <c r="A311" s="15" t="s">
        <v>5212</v>
      </c>
      <c r="B311" s="16" t="s">
        <v>57</v>
      </c>
      <c r="C311" s="15">
        <v>8400207</v>
      </c>
      <c r="D311" s="16" t="s">
        <v>998</v>
      </c>
      <c r="E311" s="15" t="s">
        <v>4819</v>
      </c>
      <c r="F311" s="21" t="str">
        <f>HYPERLINK("https://psearch.kitsapgov.com/webappa/index.html?parcelID=2457166&amp;Theme=Imagery","2457166")</f>
        <v>2457166</v>
      </c>
      <c r="G311" s="16" t="s">
        <v>4820</v>
      </c>
      <c r="H311" s="17">
        <v>42613</v>
      </c>
      <c r="I311" s="18">
        <v>8220000</v>
      </c>
      <c r="J311" s="19">
        <v>1.45</v>
      </c>
      <c r="K311" s="16" t="s">
        <v>3537</v>
      </c>
      <c r="L311" s="16" t="s">
        <v>4645</v>
      </c>
      <c r="M311" s="16" t="s">
        <v>86</v>
      </c>
      <c r="N311" s="16" t="s">
        <v>5213</v>
      </c>
    </row>
    <row r="312" spans="1:14" ht="20.100000000000001" customHeight="1" x14ac:dyDescent="0.25">
      <c r="A312" s="15" t="s">
        <v>5212</v>
      </c>
      <c r="B312" s="16" t="s">
        <v>57</v>
      </c>
      <c r="C312" s="15">
        <v>8400207</v>
      </c>
      <c r="D312" s="16" t="s">
        <v>998</v>
      </c>
      <c r="E312" s="15" t="s">
        <v>4821</v>
      </c>
      <c r="F312" s="21" t="str">
        <f>HYPERLINK("https://psearch.kitsapgov.com/webappa/index.html?parcelID=2457182&amp;Theme=Imagery","2457182")</f>
        <v>2457182</v>
      </c>
      <c r="G312" s="16" t="s">
        <v>4822</v>
      </c>
      <c r="H312" s="17">
        <v>42613</v>
      </c>
      <c r="I312" s="18">
        <v>8220000</v>
      </c>
      <c r="J312" s="19">
        <v>0.62</v>
      </c>
      <c r="K312" s="16" t="s">
        <v>3537</v>
      </c>
      <c r="L312" s="16" t="s">
        <v>4645</v>
      </c>
      <c r="M312" s="16" t="s">
        <v>86</v>
      </c>
      <c r="N312" s="16" t="s">
        <v>5213</v>
      </c>
    </row>
    <row r="313" spans="1:14" ht="20.100000000000001" customHeight="1" x14ac:dyDescent="0.25">
      <c r="A313" s="15" t="s">
        <v>5212</v>
      </c>
      <c r="B313" s="16" t="s">
        <v>4781</v>
      </c>
      <c r="C313" s="15">
        <v>7400203</v>
      </c>
      <c r="D313" s="16" t="s">
        <v>4786</v>
      </c>
      <c r="E313" s="15" t="s">
        <v>4823</v>
      </c>
      <c r="F313" s="21" t="str">
        <f>HYPERLINK("https://psearch.kitsapgov.com/webappa/index.html?parcelID=2525988&amp;Theme=Imagery","2525988")</f>
        <v>2525988</v>
      </c>
      <c r="G313" s="16" t="s">
        <v>107</v>
      </c>
      <c r="H313" s="17">
        <v>42613</v>
      </c>
      <c r="I313" s="18">
        <v>8220000</v>
      </c>
      <c r="J313" s="19">
        <v>2.3199999999999998</v>
      </c>
      <c r="K313" s="16" t="s">
        <v>4788</v>
      </c>
      <c r="L313" s="16" t="s">
        <v>4645</v>
      </c>
      <c r="M313" s="16" t="s">
        <v>86</v>
      </c>
      <c r="N313" s="16" t="s">
        <v>5213</v>
      </c>
    </row>
    <row r="314" spans="1:14" ht="20.100000000000001" customHeight="1" x14ac:dyDescent="0.25">
      <c r="A314" s="15" t="s">
        <v>5212</v>
      </c>
      <c r="B314" s="16" t="s">
        <v>4824</v>
      </c>
      <c r="C314" s="15">
        <v>7400203</v>
      </c>
      <c r="D314" s="16" t="s">
        <v>4786</v>
      </c>
      <c r="E314" s="15" t="s">
        <v>4825</v>
      </c>
      <c r="F314" s="21" t="str">
        <f>HYPERLINK("https://psearch.kitsapgov.com/webappa/index.html?parcelID=2525996&amp;Theme=Imagery","2525996")</f>
        <v>2525996</v>
      </c>
      <c r="G314" s="16" t="s">
        <v>107</v>
      </c>
      <c r="H314" s="17">
        <v>42613</v>
      </c>
      <c r="I314" s="18">
        <v>8220000</v>
      </c>
      <c r="J314" s="19">
        <v>7.69</v>
      </c>
      <c r="K314" s="16" t="s">
        <v>4788</v>
      </c>
      <c r="L314" s="16" t="s">
        <v>4645</v>
      </c>
      <c r="M314" s="16" t="s">
        <v>86</v>
      </c>
      <c r="N314" s="16" t="s">
        <v>5213</v>
      </c>
    </row>
    <row r="315" spans="1:14" ht="20.100000000000001" customHeight="1" x14ac:dyDescent="0.25">
      <c r="A315" s="15" t="s">
        <v>5212</v>
      </c>
      <c r="B315" s="16" t="s">
        <v>57</v>
      </c>
      <c r="C315" s="15">
        <v>8400207</v>
      </c>
      <c r="D315" s="16" t="s">
        <v>998</v>
      </c>
      <c r="E315" s="15" t="s">
        <v>4826</v>
      </c>
      <c r="F315" s="21" t="str">
        <f>HYPERLINK("https://psearch.kitsapgov.com/webappa/index.html?parcelID=2528016&amp;Theme=Imagery","2528016")</f>
        <v>2528016</v>
      </c>
      <c r="G315" s="16" t="s">
        <v>4827</v>
      </c>
      <c r="H315" s="17">
        <v>42613</v>
      </c>
      <c r="I315" s="18">
        <v>8220000</v>
      </c>
      <c r="J315" s="19">
        <v>0.83</v>
      </c>
      <c r="K315" s="16" t="s">
        <v>100</v>
      </c>
      <c r="L315" s="16" t="s">
        <v>4645</v>
      </c>
      <c r="M315" s="16" t="s">
        <v>86</v>
      </c>
      <c r="N315" s="16" t="s">
        <v>5213</v>
      </c>
    </row>
    <row r="316" spans="1:14" ht="20.100000000000001" customHeight="1" x14ac:dyDescent="0.25">
      <c r="A316" s="15" t="s">
        <v>5212</v>
      </c>
      <c r="B316" s="16" t="s">
        <v>4781</v>
      </c>
      <c r="C316" s="15">
        <v>8400207</v>
      </c>
      <c r="D316" s="16" t="s">
        <v>998</v>
      </c>
      <c r="E316" s="15" t="s">
        <v>4828</v>
      </c>
      <c r="F316" s="21" t="str">
        <f>HYPERLINK("https://psearch.kitsapgov.com/webappa/index.html?parcelID=2455160&amp;Theme=Imagery","2455160")</f>
        <v>2455160</v>
      </c>
      <c r="G316" s="16" t="s">
        <v>4829</v>
      </c>
      <c r="H316" s="17">
        <v>42613</v>
      </c>
      <c r="I316" s="18">
        <v>8220000</v>
      </c>
      <c r="J316" s="19">
        <v>2.0699999999999998</v>
      </c>
      <c r="K316" s="16" t="s">
        <v>100</v>
      </c>
      <c r="L316" s="16" t="s">
        <v>4645</v>
      </c>
      <c r="M316" s="16" t="s">
        <v>86</v>
      </c>
      <c r="N316" s="16" t="s">
        <v>5213</v>
      </c>
    </row>
    <row r="317" spans="1:14" ht="20.100000000000001" customHeight="1" x14ac:dyDescent="0.25">
      <c r="A317" s="15" t="s">
        <v>5212</v>
      </c>
      <c r="B317" s="16" t="s">
        <v>57</v>
      </c>
      <c r="C317" s="15">
        <v>8400207</v>
      </c>
      <c r="D317" s="16" t="s">
        <v>998</v>
      </c>
      <c r="E317" s="15" t="s">
        <v>4830</v>
      </c>
      <c r="F317" s="21" t="str">
        <f>HYPERLINK("https://psearch.kitsapgov.com/webappa/index.html?parcelID=2592665&amp;Theme=Imagery","2592665")</f>
        <v>2592665</v>
      </c>
      <c r="G317" s="16" t="s">
        <v>4831</v>
      </c>
      <c r="H317" s="17">
        <v>42613</v>
      </c>
      <c r="I317" s="18">
        <v>8220000</v>
      </c>
      <c r="J317" s="19">
        <v>1.51</v>
      </c>
      <c r="K317" s="16" t="s">
        <v>100</v>
      </c>
      <c r="L317" s="16" t="s">
        <v>4645</v>
      </c>
      <c r="M317" s="16" t="s">
        <v>86</v>
      </c>
      <c r="N317" s="16" t="s">
        <v>5213</v>
      </c>
    </row>
    <row r="318" spans="1:14" ht="20.100000000000001" customHeight="1" x14ac:dyDescent="0.25">
      <c r="A318" s="15" t="s">
        <v>5212</v>
      </c>
      <c r="B318" s="16" t="s">
        <v>57</v>
      </c>
      <c r="C318" s="15">
        <v>8400207</v>
      </c>
      <c r="D318" s="16" t="s">
        <v>998</v>
      </c>
      <c r="E318" s="15" t="s">
        <v>3902</v>
      </c>
      <c r="F318" s="21" t="str">
        <f>HYPERLINK("https://psearch.kitsapgov.com/webappa/index.html?parcelID=2455228&amp;Theme=Imagery","2455228")</f>
        <v>2455228</v>
      </c>
      <c r="G318" s="16" t="s">
        <v>3903</v>
      </c>
      <c r="H318" s="17">
        <v>42613</v>
      </c>
      <c r="I318" s="18">
        <v>8220000</v>
      </c>
      <c r="J318" s="19">
        <v>1.04</v>
      </c>
      <c r="K318" s="16" t="s">
        <v>100</v>
      </c>
      <c r="L318" s="16" t="s">
        <v>4645</v>
      </c>
      <c r="M318" s="16" t="s">
        <v>86</v>
      </c>
      <c r="N318" s="16" t="s">
        <v>5213</v>
      </c>
    </row>
    <row r="319" spans="1:14" ht="20.100000000000001" customHeight="1" x14ac:dyDescent="0.25">
      <c r="A319" s="15" t="s">
        <v>5212</v>
      </c>
      <c r="B319" s="16" t="s">
        <v>57</v>
      </c>
      <c r="C319" s="15">
        <v>8400207</v>
      </c>
      <c r="D319" s="16" t="s">
        <v>998</v>
      </c>
      <c r="E319" s="15" t="s">
        <v>4832</v>
      </c>
      <c r="F319" s="21" t="str">
        <f>HYPERLINK("https://psearch.kitsapgov.com/webappa/index.html?parcelID=2455244&amp;Theme=Imagery","2455244")</f>
        <v>2455244</v>
      </c>
      <c r="G319" s="16" t="s">
        <v>4833</v>
      </c>
      <c r="H319" s="17">
        <v>42613</v>
      </c>
      <c r="I319" s="18">
        <v>8220000</v>
      </c>
      <c r="J319" s="19">
        <v>1.55</v>
      </c>
      <c r="K319" s="16" t="s">
        <v>100</v>
      </c>
      <c r="L319" s="16" t="s">
        <v>4645</v>
      </c>
      <c r="M319" s="16" t="s">
        <v>86</v>
      </c>
      <c r="N319" s="16" t="s">
        <v>5213</v>
      </c>
    </row>
    <row r="320" spans="1:14" ht="20.100000000000001" customHeight="1" x14ac:dyDescent="0.25">
      <c r="A320" s="15" t="s">
        <v>5212</v>
      </c>
      <c r="B320" s="16" t="s">
        <v>4781</v>
      </c>
      <c r="C320" s="15">
        <v>8400207</v>
      </c>
      <c r="D320" s="16" t="s">
        <v>998</v>
      </c>
      <c r="E320" s="15" t="s">
        <v>4834</v>
      </c>
      <c r="F320" s="21" t="str">
        <f>HYPERLINK("https://psearch.kitsapgov.com/webappa/index.html?parcelID=2455251&amp;Theme=Imagery","2455251")</f>
        <v>2455251</v>
      </c>
      <c r="G320" s="16" t="s">
        <v>4835</v>
      </c>
      <c r="H320" s="17">
        <v>42613</v>
      </c>
      <c r="I320" s="18">
        <v>8220000</v>
      </c>
      <c r="J320" s="19">
        <v>2.89</v>
      </c>
      <c r="K320" s="16" t="s">
        <v>100</v>
      </c>
      <c r="L320" s="16" t="s">
        <v>4645</v>
      </c>
      <c r="M320" s="16" t="s">
        <v>86</v>
      </c>
      <c r="N320" s="16" t="s">
        <v>5213</v>
      </c>
    </row>
    <row r="321" spans="1:14" ht="39.950000000000003" customHeight="1" x14ac:dyDescent="0.25">
      <c r="A321" s="15" t="s">
        <v>5214</v>
      </c>
      <c r="B321" s="16" t="s">
        <v>66</v>
      </c>
      <c r="C321" s="15">
        <v>8401102</v>
      </c>
      <c r="D321" s="16" t="s">
        <v>766</v>
      </c>
      <c r="E321" s="15" t="s">
        <v>5215</v>
      </c>
      <c r="F321" s="21" t="str">
        <f>HYPERLINK("https://psearch.kitsapgov.com/webappa/index.html?parcelID=1659218&amp;Theme=Imagery","1659218")</f>
        <v>1659218</v>
      </c>
      <c r="G321" s="16" t="s">
        <v>5216</v>
      </c>
      <c r="H321" s="17">
        <v>42633</v>
      </c>
      <c r="I321" s="18">
        <v>88000</v>
      </c>
      <c r="J321" s="19">
        <v>0.31</v>
      </c>
      <c r="K321" s="16" t="s">
        <v>188</v>
      </c>
      <c r="L321" s="16" t="s">
        <v>372</v>
      </c>
      <c r="M321" s="16" t="s">
        <v>5217</v>
      </c>
      <c r="N321" s="16" t="s">
        <v>5218</v>
      </c>
    </row>
    <row r="322" spans="1:14" ht="20.100000000000001" customHeight="1" x14ac:dyDescent="0.25">
      <c r="A322" s="15" t="s">
        <v>5214</v>
      </c>
      <c r="B322" s="16" t="s">
        <v>57</v>
      </c>
      <c r="C322" s="15">
        <v>8401102</v>
      </c>
      <c r="D322" s="16" t="s">
        <v>766</v>
      </c>
      <c r="E322" s="15" t="s">
        <v>5219</v>
      </c>
      <c r="F322" s="21" t="str">
        <f>HYPERLINK("https://psearch.kitsapgov.com/webappa/index.html?parcelID=1659408&amp;Theme=Imagery","1659408")</f>
        <v>1659408</v>
      </c>
      <c r="G322" s="16" t="s">
        <v>5220</v>
      </c>
      <c r="H322" s="17">
        <v>42633</v>
      </c>
      <c r="I322" s="18">
        <v>88000</v>
      </c>
      <c r="J322" s="19">
        <v>0.05</v>
      </c>
      <c r="K322" s="16" t="s">
        <v>188</v>
      </c>
      <c r="L322" s="16" t="s">
        <v>372</v>
      </c>
      <c r="M322" s="16" t="s">
        <v>5217</v>
      </c>
      <c r="N322" s="16" t="s">
        <v>5218</v>
      </c>
    </row>
    <row r="323" spans="1:14" ht="39.950000000000003" customHeight="1" x14ac:dyDescent="0.25">
      <c r="A323" s="15" t="s">
        <v>5221</v>
      </c>
      <c r="B323" s="16" t="s">
        <v>5222</v>
      </c>
      <c r="C323" s="15">
        <v>8303601</v>
      </c>
      <c r="D323" s="16" t="s">
        <v>50</v>
      </c>
      <c r="E323" s="15" t="s">
        <v>5223</v>
      </c>
      <c r="F323" s="21" t="str">
        <f>HYPERLINK("https://psearch.kitsapgov.com/webappa/index.html?parcelID=2418820&amp;Theme=Imagery","2418820")</f>
        <v>2418820</v>
      </c>
      <c r="G323" s="16" t="s">
        <v>5224</v>
      </c>
      <c r="H323" s="17">
        <v>42641</v>
      </c>
      <c r="I323" s="18">
        <v>72329</v>
      </c>
      <c r="J323" s="19">
        <v>0</v>
      </c>
      <c r="L323" s="16" t="s">
        <v>4645</v>
      </c>
      <c r="M323" s="16" t="s">
        <v>5225</v>
      </c>
      <c r="N323" s="16" t="s">
        <v>1459</v>
      </c>
    </row>
    <row r="324" spans="1:14" ht="20.100000000000001" customHeight="1" x14ac:dyDescent="0.25">
      <c r="A324" s="15" t="s">
        <v>5221</v>
      </c>
      <c r="B324" s="16" t="s">
        <v>286</v>
      </c>
      <c r="C324" s="15">
        <v>8303660</v>
      </c>
      <c r="D324" s="16" t="s">
        <v>313</v>
      </c>
      <c r="E324" s="15" t="s">
        <v>5226</v>
      </c>
      <c r="F324" s="21" t="str">
        <f>HYPERLINK("https://psearch.kitsapgov.com/webappa/index.html?parcelID=1880723&amp;Theme=Imagery","1880723")</f>
        <v>1880723</v>
      </c>
      <c r="G324" s="16" t="s">
        <v>5227</v>
      </c>
      <c r="H324" s="17">
        <v>42641</v>
      </c>
      <c r="I324" s="18">
        <v>72329</v>
      </c>
      <c r="J324" s="19">
        <v>0</v>
      </c>
      <c r="L324" s="16" t="s">
        <v>4645</v>
      </c>
      <c r="M324" s="16" t="s">
        <v>5225</v>
      </c>
      <c r="N324" s="16" t="s">
        <v>1459</v>
      </c>
    </row>
    <row r="325" spans="1:14" ht="39.950000000000003" customHeight="1" x14ac:dyDescent="0.25">
      <c r="A325" s="15" t="s">
        <v>5228</v>
      </c>
      <c r="B325" s="16" t="s">
        <v>1816</v>
      </c>
      <c r="C325" s="15">
        <v>8100502</v>
      </c>
      <c r="D325" s="16" t="s">
        <v>67</v>
      </c>
      <c r="E325" s="15" t="s">
        <v>5229</v>
      </c>
      <c r="F325" s="21" t="str">
        <f>HYPERLINK("https://psearch.kitsapgov.com/webappa/index.html?parcelID=2436699&amp;Theme=Imagery","2436699")</f>
        <v>2436699</v>
      </c>
      <c r="G325" s="16" t="s">
        <v>5230</v>
      </c>
      <c r="H325" s="17">
        <v>42661</v>
      </c>
      <c r="I325" s="18">
        <v>2075000</v>
      </c>
      <c r="J325" s="19">
        <v>0.64</v>
      </c>
      <c r="K325" s="16" t="s">
        <v>173</v>
      </c>
      <c r="L325" s="16" t="s">
        <v>20</v>
      </c>
      <c r="M325" s="16" t="s">
        <v>5231</v>
      </c>
      <c r="N325" s="16" t="s">
        <v>5232</v>
      </c>
    </row>
    <row r="326" spans="1:14" ht="20.100000000000001" customHeight="1" x14ac:dyDescent="0.25">
      <c r="A326" s="15" t="s">
        <v>5228</v>
      </c>
      <c r="B326" s="16" t="s">
        <v>330</v>
      </c>
      <c r="C326" s="15">
        <v>8100502</v>
      </c>
      <c r="D326" s="16" t="s">
        <v>67</v>
      </c>
      <c r="E326" s="15" t="s">
        <v>5233</v>
      </c>
      <c r="F326" s="21" t="str">
        <f>HYPERLINK("https://psearch.kitsapgov.com/webappa/index.html?parcelID=2436731&amp;Theme=Imagery","2436731")</f>
        <v>2436731</v>
      </c>
      <c r="G326" s="16" t="s">
        <v>5234</v>
      </c>
      <c r="H326" s="17">
        <v>42661</v>
      </c>
      <c r="I326" s="18">
        <v>2075000</v>
      </c>
      <c r="J326" s="19">
        <v>0.12</v>
      </c>
      <c r="K326" s="16" t="s">
        <v>173</v>
      </c>
      <c r="L326" s="16" t="s">
        <v>20</v>
      </c>
      <c r="M326" s="16" t="s">
        <v>5231</v>
      </c>
      <c r="N326" s="16" t="s">
        <v>5232</v>
      </c>
    </row>
    <row r="327" spans="1:14" ht="39.950000000000003" customHeight="1" x14ac:dyDescent="0.25">
      <c r="A327" s="15" t="s">
        <v>5235</v>
      </c>
      <c r="B327" s="16" t="s">
        <v>3696</v>
      </c>
      <c r="C327" s="15">
        <v>9100541</v>
      </c>
      <c r="D327" s="16" t="s">
        <v>215</v>
      </c>
      <c r="E327" s="15" t="s">
        <v>5236</v>
      </c>
      <c r="F327" s="21" t="str">
        <f>HYPERLINK("https://psearch.kitsapgov.com/webappa/index.html?parcelID=1447408&amp;Theme=Imagery","1447408")</f>
        <v>1447408</v>
      </c>
      <c r="G327" s="16" t="s">
        <v>5237</v>
      </c>
      <c r="H327" s="17">
        <v>42661</v>
      </c>
      <c r="I327" s="18">
        <v>3300000</v>
      </c>
      <c r="J327" s="19">
        <v>0.55000000000000004</v>
      </c>
      <c r="K327" s="16" t="s">
        <v>3559</v>
      </c>
      <c r="L327" s="16" t="s">
        <v>20</v>
      </c>
      <c r="M327" s="16" t="s">
        <v>5238</v>
      </c>
      <c r="N327" s="16" t="s">
        <v>5239</v>
      </c>
    </row>
    <row r="328" spans="1:14" ht="20.100000000000001" customHeight="1" x14ac:dyDescent="0.25">
      <c r="A328" s="15" t="s">
        <v>5235</v>
      </c>
      <c r="B328" s="16" t="s">
        <v>57</v>
      </c>
      <c r="C328" s="15">
        <v>9100541</v>
      </c>
      <c r="D328" s="16" t="s">
        <v>215</v>
      </c>
      <c r="E328" s="15" t="s">
        <v>5240</v>
      </c>
      <c r="F328" s="21" t="str">
        <f>HYPERLINK("https://psearch.kitsapgov.com/webappa/index.html?parcelID=1447416&amp;Theme=Imagery","1447416")</f>
        <v>1447416</v>
      </c>
      <c r="G328" s="16" t="s">
        <v>5241</v>
      </c>
      <c r="H328" s="17">
        <v>42661</v>
      </c>
      <c r="I328" s="18">
        <v>3300000</v>
      </c>
      <c r="J328" s="19">
        <v>0.27</v>
      </c>
      <c r="K328" s="16" t="s">
        <v>3559</v>
      </c>
      <c r="L328" s="16" t="s">
        <v>20</v>
      </c>
      <c r="M328" s="16" t="s">
        <v>5238</v>
      </c>
      <c r="N328" s="16" t="s">
        <v>5239</v>
      </c>
    </row>
    <row r="329" spans="1:14" ht="39.950000000000003" customHeight="1" x14ac:dyDescent="0.25">
      <c r="A329" s="15" t="s">
        <v>5242</v>
      </c>
      <c r="B329" s="16" t="s">
        <v>49</v>
      </c>
      <c r="C329" s="15">
        <v>8402308</v>
      </c>
      <c r="D329" s="16" t="s">
        <v>75</v>
      </c>
      <c r="E329" s="15" t="s">
        <v>5243</v>
      </c>
      <c r="F329" s="21" t="str">
        <f>HYPERLINK("https://psearch.kitsapgov.com/webappa/index.html?parcelID=2592947&amp;Theme=Imagery","2592947")</f>
        <v>2592947</v>
      </c>
      <c r="G329" s="16" t="s">
        <v>5244</v>
      </c>
      <c r="H329" s="17">
        <v>42640</v>
      </c>
      <c r="I329" s="18">
        <v>150000</v>
      </c>
      <c r="J329" s="19">
        <v>0.38</v>
      </c>
      <c r="K329" s="16" t="s">
        <v>672</v>
      </c>
      <c r="L329" s="16" t="s">
        <v>4645</v>
      </c>
      <c r="M329" s="16" t="s">
        <v>5245</v>
      </c>
      <c r="N329" s="16" t="s">
        <v>5246</v>
      </c>
    </row>
    <row r="330" spans="1:14" ht="20.100000000000001" customHeight="1" x14ac:dyDescent="0.25">
      <c r="A330" s="15" t="s">
        <v>5242</v>
      </c>
      <c r="B330" s="16" t="s">
        <v>49</v>
      </c>
      <c r="C330" s="15">
        <v>8402308</v>
      </c>
      <c r="D330" s="16" t="s">
        <v>75</v>
      </c>
      <c r="E330" s="15" t="s">
        <v>5247</v>
      </c>
      <c r="F330" s="21" t="str">
        <f>HYPERLINK("https://psearch.kitsapgov.com/webappa/index.html?parcelID=2592954&amp;Theme=Imagery","2592954")</f>
        <v>2592954</v>
      </c>
      <c r="G330" s="16" t="s">
        <v>5244</v>
      </c>
      <c r="H330" s="17">
        <v>42640</v>
      </c>
      <c r="I330" s="18">
        <v>150000</v>
      </c>
      <c r="J330" s="19">
        <v>0.44</v>
      </c>
      <c r="K330" s="16" t="s">
        <v>672</v>
      </c>
      <c r="L330" s="16" t="s">
        <v>4645</v>
      </c>
      <c r="M330" s="16" t="s">
        <v>5245</v>
      </c>
      <c r="N330" s="16" t="s">
        <v>5246</v>
      </c>
    </row>
    <row r="331" spans="1:14" ht="39.950000000000003" customHeight="1" x14ac:dyDescent="0.25">
      <c r="A331" s="15" t="s">
        <v>5248</v>
      </c>
      <c r="B331" s="16" t="s">
        <v>57</v>
      </c>
      <c r="C331" s="15">
        <v>8100502</v>
      </c>
      <c r="D331" s="16" t="s">
        <v>67</v>
      </c>
      <c r="E331" s="15" t="s">
        <v>5249</v>
      </c>
      <c r="F331" s="21" t="str">
        <f>HYPERLINK("https://psearch.kitsapgov.com/webappa/index.html?parcelID=2579852&amp;Theme=Imagery","2579852")</f>
        <v>2579852</v>
      </c>
      <c r="G331" s="16" t="s">
        <v>5250</v>
      </c>
      <c r="H331" s="17">
        <v>42688</v>
      </c>
      <c r="I331" s="18">
        <v>1350000</v>
      </c>
      <c r="J331" s="19">
        <v>1.57</v>
      </c>
      <c r="K331" s="16" t="s">
        <v>445</v>
      </c>
      <c r="L331" s="16" t="s">
        <v>856</v>
      </c>
      <c r="M331" s="16" t="s">
        <v>5251</v>
      </c>
      <c r="N331" s="16" t="s">
        <v>5252</v>
      </c>
    </row>
    <row r="332" spans="1:14" ht="20.100000000000001" customHeight="1" x14ac:dyDescent="0.25">
      <c r="A332" s="15" t="s">
        <v>5248</v>
      </c>
      <c r="B332" s="16" t="s">
        <v>57</v>
      </c>
      <c r="C332" s="15">
        <v>8100502</v>
      </c>
      <c r="D332" s="16" t="s">
        <v>67</v>
      </c>
      <c r="E332" s="15" t="s">
        <v>5253</v>
      </c>
      <c r="F332" s="21" t="str">
        <f>HYPERLINK("https://psearch.kitsapgov.com/webappa/index.html?parcelID=2579860&amp;Theme=Imagery","2579860")</f>
        <v>2579860</v>
      </c>
      <c r="G332" s="16" t="s">
        <v>5254</v>
      </c>
      <c r="H332" s="17">
        <v>42688</v>
      </c>
      <c r="I332" s="18">
        <v>1350000</v>
      </c>
      <c r="J332" s="19">
        <v>0.84</v>
      </c>
      <c r="K332" s="16" t="s">
        <v>445</v>
      </c>
      <c r="L332" s="16" t="s">
        <v>856</v>
      </c>
      <c r="M332" s="16" t="s">
        <v>5251</v>
      </c>
      <c r="N332" s="16" t="s">
        <v>5252</v>
      </c>
    </row>
    <row r="333" spans="1:14" ht="20.100000000000001" customHeight="1" x14ac:dyDescent="0.25">
      <c r="A333" s="15" t="s">
        <v>5248</v>
      </c>
      <c r="B333" s="16" t="s">
        <v>57</v>
      </c>
      <c r="C333" s="15">
        <v>8100502</v>
      </c>
      <c r="D333" s="16" t="s">
        <v>67</v>
      </c>
      <c r="E333" s="15" t="s">
        <v>5255</v>
      </c>
      <c r="F333" s="21" t="str">
        <f>HYPERLINK("https://psearch.kitsapgov.com/webappa/index.html?parcelID=2579878&amp;Theme=Imagery","2579878")</f>
        <v>2579878</v>
      </c>
      <c r="G333" s="16" t="s">
        <v>5256</v>
      </c>
      <c r="H333" s="17">
        <v>42688</v>
      </c>
      <c r="I333" s="18">
        <v>1350000</v>
      </c>
      <c r="J333" s="19">
        <v>1.0900000000000001</v>
      </c>
      <c r="K333" s="16" t="s">
        <v>445</v>
      </c>
      <c r="L333" s="16" t="s">
        <v>856</v>
      </c>
      <c r="M333" s="16" t="s">
        <v>5251</v>
      </c>
      <c r="N333" s="16" t="s">
        <v>5252</v>
      </c>
    </row>
    <row r="334" spans="1:14" ht="20.100000000000001" customHeight="1" x14ac:dyDescent="0.25">
      <c r="A334" s="15" t="s">
        <v>5248</v>
      </c>
      <c r="B334" s="16" t="s">
        <v>57</v>
      </c>
      <c r="C334" s="15">
        <v>8100502</v>
      </c>
      <c r="D334" s="16" t="s">
        <v>67</v>
      </c>
      <c r="E334" s="15" t="s">
        <v>5257</v>
      </c>
      <c r="F334" s="21" t="str">
        <f>HYPERLINK("https://psearch.kitsapgov.com/webappa/index.html?parcelID=2579886&amp;Theme=Imagery","2579886")</f>
        <v>2579886</v>
      </c>
      <c r="G334" s="16" t="s">
        <v>5258</v>
      </c>
      <c r="H334" s="17">
        <v>42688</v>
      </c>
      <c r="I334" s="18">
        <v>1350000</v>
      </c>
      <c r="J334" s="19">
        <v>1.03</v>
      </c>
      <c r="K334" s="16" t="s">
        <v>445</v>
      </c>
      <c r="L334" s="16" t="s">
        <v>856</v>
      </c>
      <c r="M334" s="16" t="s">
        <v>5251</v>
      </c>
      <c r="N334" s="16" t="s">
        <v>5252</v>
      </c>
    </row>
    <row r="335" spans="1:14" ht="20.100000000000001" customHeight="1" x14ac:dyDescent="0.25">
      <c r="A335" s="15" t="s">
        <v>5248</v>
      </c>
      <c r="B335" s="16" t="s">
        <v>57</v>
      </c>
      <c r="C335" s="15">
        <v>8100502</v>
      </c>
      <c r="D335" s="16" t="s">
        <v>67</v>
      </c>
      <c r="E335" s="15" t="s">
        <v>5259</v>
      </c>
      <c r="F335" s="21" t="str">
        <f>HYPERLINK("https://psearch.kitsapgov.com/webappa/index.html?parcelID=2579894&amp;Theme=Imagery","2579894")</f>
        <v>2579894</v>
      </c>
      <c r="G335" s="16" t="s">
        <v>5260</v>
      </c>
      <c r="H335" s="17">
        <v>42688</v>
      </c>
      <c r="I335" s="18">
        <v>1350000</v>
      </c>
      <c r="J335" s="19">
        <v>1.29</v>
      </c>
      <c r="K335" s="16" t="s">
        <v>445</v>
      </c>
      <c r="L335" s="16" t="s">
        <v>856</v>
      </c>
      <c r="M335" s="16" t="s">
        <v>5251</v>
      </c>
      <c r="N335" s="16" t="s">
        <v>5252</v>
      </c>
    </row>
    <row r="336" spans="1:14" ht="20.100000000000001" customHeight="1" x14ac:dyDescent="0.25">
      <c r="A336" s="15" t="s">
        <v>5248</v>
      </c>
      <c r="B336" s="16" t="s">
        <v>57</v>
      </c>
      <c r="C336" s="15">
        <v>8100502</v>
      </c>
      <c r="D336" s="16" t="s">
        <v>67</v>
      </c>
      <c r="E336" s="15" t="s">
        <v>5261</v>
      </c>
      <c r="F336" s="21" t="str">
        <f>HYPERLINK("https://psearch.kitsapgov.com/webappa/index.html?parcelID=2579902&amp;Theme=Imagery","2579902")</f>
        <v>2579902</v>
      </c>
      <c r="G336" s="16" t="s">
        <v>5262</v>
      </c>
      <c r="H336" s="17">
        <v>42688</v>
      </c>
      <c r="I336" s="18">
        <v>1350000</v>
      </c>
      <c r="J336" s="19">
        <v>0.57999999999999996</v>
      </c>
      <c r="K336" s="16" t="s">
        <v>445</v>
      </c>
      <c r="L336" s="16" t="s">
        <v>856</v>
      </c>
      <c r="M336" s="16" t="s">
        <v>5251</v>
      </c>
      <c r="N336" s="16" t="s">
        <v>5252</v>
      </c>
    </row>
    <row r="337" spans="1:14" ht="39.950000000000003" customHeight="1" x14ac:dyDescent="0.25">
      <c r="A337" s="15" t="s">
        <v>5263</v>
      </c>
      <c r="B337" s="16" t="s">
        <v>57</v>
      </c>
      <c r="C337" s="15">
        <v>8400203</v>
      </c>
      <c r="D337" s="16" t="s">
        <v>97</v>
      </c>
      <c r="E337" s="15" t="s">
        <v>5264</v>
      </c>
      <c r="F337" s="21" t="str">
        <f>HYPERLINK("https://psearch.kitsapgov.com/webappa/index.html?parcelID=1334408&amp;Theme=Imagery","1334408")</f>
        <v>1334408</v>
      </c>
      <c r="G337" s="16" t="s">
        <v>5265</v>
      </c>
      <c r="H337" s="17">
        <v>42697</v>
      </c>
      <c r="I337" s="18">
        <v>230000</v>
      </c>
      <c r="J337" s="19">
        <v>0.34</v>
      </c>
      <c r="K337" s="16" t="s">
        <v>100</v>
      </c>
      <c r="L337" s="16" t="s">
        <v>4645</v>
      </c>
      <c r="M337" s="16" t="s">
        <v>5266</v>
      </c>
      <c r="N337" s="16" t="s">
        <v>5267</v>
      </c>
    </row>
    <row r="338" spans="1:14" ht="20.100000000000001" customHeight="1" x14ac:dyDescent="0.25">
      <c r="A338" s="15" t="s">
        <v>5263</v>
      </c>
      <c r="B338" s="16" t="s">
        <v>49</v>
      </c>
      <c r="C338" s="15">
        <v>8400203</v>
      </c>
      <c r="D338" s="16" t="s">
        <v>97</v>
      </c>
      <c r="E338" s="15" t="s">
        <v>5268</v>
      </c>
      <c r="F338" s="21" t="str">
        <f>HYPERLINK("https://psearch.kitsapgov.com/webappa/index.html?parcelID=1334416&amp;Theme=Imagery","1334416")</f>
        <v>1334416</v>
      </c>
      <c r="G338" s="16" t="s">
        <v>5269</v>
      </c>
      <c r="H338" s="17">
        <v>42697</v>
      </c>
      <c r="I338" s="18">
        <v>230000</v>
      </c>
      <c r="J338" s="19">
        <v>0.28999999999999998</v>
      </c>
      <c r="K338" s="16" t="s">
        <v>100</v>
      </c>
      <c r="L338" s="16" t="s">
        <v>4645</v>
      </c>
      <c r="M338" s="16" t="s">
        <v>5266</v>
      </c>
      <c r="N338" s="16" t="s">
        <v>5267</v>
      </c>
    </row>
    <row r="339" spans="1:14" ht="39.950000000000003" customHeight="1" x14ac:dyDescent="0.25">
      <c r="A339" s="15" t="s">
        <v>5270</v>
      </c>
      <c r="B339" s="16" t="s">
        <v>526</v>
      </c>
      <c r="C339" s="15">
        <v>8402391</v>
      </c>
      <c r="D339" s="16" t="s">
        <v>227</v>
      </c>
      <c r="E339" s="15" t="s">
        <v>5271</v>
      </c>
      <c r="F339" s="21" t="str">
        <f>HYPERLINK("https://psearch.kitsapgov.com/webappa/index.html?parcelID=1057603&amp;Theme=Imagery","1057603")</f>
        <v>1057603</v>
      </c>
      <c r="G339" s="16" t="s">
        <v>5272</v>
      </c>
      <c r="H339" s="17">
        <v>42712</v>
      </c>
      <c r="I339" s="18">
        <v>200000</v>
      </c>
      <c r="J339" s="19">
        <v>2.41</v>
      </c>
      <c r="K339" s="16" t="s">
        <v>61</v>
      </c>
      <c r="L339" s="16" t="s">
        <v>20</v>
      </c>
      <c r="M339" s="16" t="s">
        <v>5273</v>
      </c>
      <c r="N339" s="16" t="s">
        <v>5274</v>
      </c>
    </row>
    <row r="340" spans="1:14" ht="20.100000000000001" customHeight="1" x14ac:dyDescent="0.25">
      <c r="A340" s="15" t="s">
        <v>5270</v>
      </c>
      <c r="B340" s="16" t="s">
        <v>57</v>
      </c>
      <c r="C340" s="15">
        <v>8402391</v>
      </c>
      <c r="D340" s="16" t="s">
        <v>227</v>
      </c>
      <c r="E340" s="15" t="s">
        <v>5275</v>
      </c>
      <c r="F340" s="21" t="str">
        <f>HYPERLINK("https://psearch.kitsapgov.com/webappa/index.html?parcelID=1057645&amp;Theme=Imagery","1057645")</f>
        <v>1057645</v>
      </c>
      <c r="G340" s="16" t="s">
        <v>555</v>
      </c>
      <c r="H340" s="17">
        <v>42712</v>
      </c>
      <c r="I340" s="18">
        <v>200000</v>
      </c>
      <c r="J340" s="19">
        <v>2.41</v>
      </c>
      <c r="K340" s="16" t="s">
        <v>61</v>
      </c>
      <c r="L340" s="16" t="s">
        <v>20</v>
      </c>
      <c r="M340" s="16" t="s">
        <v>5273</v>
      </c>
      <c r="N340" s="16" t="s">
        <v>5274</v>
      </c>
    </row>
    <row r="341" spans="1:14" ht="39.950000000000003" customHeight="1" x14ac:dyDescent="0.25">
      <c r="A341" s="15" t="s">
        <v>5276</v>
      </c>
      <c r="B341" s="16" t="s">
        <v>1248</v>
      </c>
      <c r="C341" s="15">
        <v>9402401</v>
      </c>
      <c r="D341" s="16" t="s">
        <v>629</v>
      </c>
      <c r="E341" s="15" t="s">
        <v>5277</v>
      </c>
      <c r="F341" s="21" t="str">
        <f>HYPERLINK("https://psearch.kitsapgov.com/webappa/index.html?parcelID=2371540&amp;Theme=Imagery","2371540")</f>
        <v>2371540</v>
      </c>
      <c r="G341" s="16" t="s">
        <v>5278</v>
      </c>
      <c r="H341" s="17">
        <v>42720</v>
      </c>
      <c r="I341" s="18">
        <v>5500000</v>
      </c>
      <c r="J341" s="19">
        <v>4.3499999999999996</v>
      </c>
      <c r="K341" s="16" t="s">
        <v>128</v>
      </c>
      <c r="L341" s="16" t="s">
        <v>4656</v>
      </c>
      <c r="M341" s="16" t="s">
        <v>5279</v>
      </c>
      <c r="N341" s="16" t="s">
        <v>5280</v>
      </c>
    </row>
    <row r="342" spans="1:14" ht="20.100000000000001" customHeight="1" x14ac:dyDescent="0.25">
      <c r="A342" s="15" t="s">
        <v>5276</v>
      </c>
      <c r="B342" s="16" t="s">
        <v>1248</v>
      </c>
      <c r="C342" s="15">
        <v>9402401</v>
      </c>
      <c r="D342" s="16" t="s">
        <v>629</v>
      </c>
      <c r="E342" s="15" t="s">
        <v>5281</v>
      </c>
      <c r="F342" s="21" t="str">
        <f>HYPERLINK("https://psearch.kitsapgov.com/webappa/index.html?parcelID=2371557&amp;Theme=Imagery","2371557")</f>
        <v>2371557</v>
      </c>
      <c r="G342" s="16" t="s">
        <v>5282</v>
      </c>
      <c r="H342" s="17">
        <v>42720</v>
      </c>
      <c r="I342" s="18">
        <v>5500000</v>
      </c>
      <c r="J342" s="19">
        <v>19.489999999999998</v>
      </c>
      <c r="K342" s="16" t="s">
        <v>128</v>
      </c>
      <c r="L342" s="16" t="s">
        <v>4656</v>
      </c>
      <c r="M342" s="16" t="s">
        <v>5279</v>
      </c>
      <c r="N342" s="16" t="s">
        <v>5280</v>
      </c>
    </row>
    <row r="343" spans="1:14" ht="20.100000000000001" customHeight="1" x14ac:dyDescent="0.25">
      <c r="A343" s="15" t="s">
        <v>5276</v>
      </c>
      <c r="B343" s="16" t="s">
        <v>1248</v>
      </c>
      <c r="C343" s="15">
        <v>9402401</v>
      </c>
      <c r="D343" s="16" t="s">
        <v>629</v>
      </c>
      <c r="E343" s="15" t="s">
        <v>5283</v>
      </c>
      <c r="F343" s="21" t="str">
        <f>HYPERLINK("https://psearch.kitsapgov.com/webappa/index.html?parcelID=2371565&amp;Theme=Imagery","2371565")</f>
        <v>2371565</v>
      </c>
      <c r="G343" s="16" t="s">
        <v>5284</v>
      </c>
      <c r="H343" s="17">
        <v>42720</v>
      </c>
      <c r="I343" s="18">
        <v>5500000</v>
      </c>
      <c r="J343" s="19">
        <v>8.08</v>
      </c>
      <c r="K343" s="16" t="s">
        <v>128</v>
      </c>
      <c r="L343" s="16" t="s">
        <v>4656</v>
      </c>
      <c r="M343" s="16" t="s">
        <v>5279</v>
      </c>
      <c r="N343" s="16" t="s">
        <v>5280</v>
      </c>
    </row>
    <row r="344" spans="1:14" ht="20.100000000000001" customHeight="1" x14ac:dyDescent="0.25">
      <c r="A344" s="15" t="s">
        <v>5276</v>
      </c>
      <c r="B344" s="16" t="s">
        <v>1248</v>
      </c>
      <c r="C344" s="15">
        <v>9402401</v>
      </c>
      <c r="D344" s="16" t="s">
        <v>629</v>
      </c>
      <c r="E344" s="15" t="s">
        <v>5285</v>
      </c>
      <c r="F344" s="21" t="str">
        <f>HYPERLINK("https://psearch.kitsapgov.com/webappa/index.html?parcelID=2371573&amp;Theme=Imagery","2371573")</f>
        <v>2371573</v>
      </c>
      <c r="G344" s="16" t="s">
        <v>5286</v>
      </c>
      <c r="H344" s="17">
        <v>42720</v>
      </c>
      <c r="I344" s="18">
        <v>5500000</v>
      </c>
      <c r="J344" s="19">
        <v>4.0599999999999996</v>
      </c>
      <c r="K344" s="16" t="s">
        <v>128</v>
      </c>
      <c r="L344" s="16" t="s">
        <v>4656</v>
      </c>
      <c r="M344" s="16" t="s">
        <v>5279</v>
      </c>
      <c r="N344" s="16" t="s">
        <v>5280</v>
      </c>
    </row>
    <row r="345" spans="1:14" ht="20.100000000000001" customHeight="1" x14ac:dyDescent="0.25">
      <c r="A345" s="15" t="s">
        <v>5276</v>
      </c>
      <c r="B345" s="16" t="s">
        <v>1248</v>
      </c>
      <c r="C345" s="15">
        <v>9402401</v>
      </c>
      <c r="D345" s="16" t="s">
        <v>629</v>
      </c>
      <c r="E345" s="15" t="s">
        <v>5287</v>
      </c>
      <c r="F345" s="21" t="str">
        <f>HYPERLINK("https://psearch.kitsapgov.com/webappa/index.html?parcelID=2380442&amp;Theme=Imagery","2380442")</f>
        <v>2380442</v>
      </c>
      <c r="G345" s="16" t="s">
        <v>5288</v>
      </c>
      <c r="H345" s="17">
        <v>42720</v>
      </c>
      <c r="I345" s="18">
        <v>5500000</v>
      </c>
      <c r="J345" s="19">
        <v>160.56</v>
      </c>
      <c r="K345" s="16" t="s">
        <v>128</v>
      </c>
      <c r="L345" s="16" t="s">
        <v>4656</v>
      </c>
      <c r="M345" s="16" t="s">
        <v>5279</v>
      </c>
      <c r="N345" s="16" t="s">
        <v>5280</v>
      </c>
    </row>
    <row r="346" spans="1:14" ht="39.950000000000003" customHeight="1" x14ac:dyDescent="0.25">
      <c r="A346" s="15" t="s">
        <v>5289</v>
      </c>
      <c r="B346" s="16" t="s">
        <v>57</v>
      </c>
      <c r="C346" s="15">
        <v>8100505</v>
      </c>
      <c r="D346" s="16" t="s">
        <v>17</v>
      </c>
      <c r="E346" s="15" t="s">
        <v>5290</v>
      </c>
      <c r="F346" s="21" t="str">
        <f>HYPERLINK("https://psearch.kitsapgov.com/webappa/index.html?parcelID=2600195&amp;Theme=Imagery","2600195")</f>
        <v>2600195</v>
      </c>
      <c r="G346" s="16" t="s">
        <v>5291</v>
      </c>
      <c r="H346" s="17">
        <v>42731</v>
      </c>
      <c r="I346" s="18">
        <v>600000</v>
      </c>
      <c r="J346" s="19">
        <v>0.16</v>
      </c>
      <c r="K346" s="16" t="s">
        <v>457</v>
      </c>
      <c r="L346" s="16" t="s">
        <v>4645</v>
      </c>
      <c r="M346" s="16" t="s">
        <v>5292</v>
      </c>
      <c r="N346" s="16" t="s">
        <v>2163</v>
      </c>
    </row>
    <row r="347" spans="1:14" ht="20.100000000000001" customHeight="1" x14ac:dyDescent="0.25">
      <c r="A347" s="15" t="s">
        <v>5289</v>
      </c>
      <c r="B347" s="16" t="s">
        <v>57</v>
      </c>
      <c r="C347" s="15">
        <v>8100505</v>
      </c>
      <c r="D347" s="16" t="s">
        <v>17</v>
      </c>
      <c r="E347" s="15" t="s">
        <v>5293</v>
      </c>
      <c r="F347" s="21" t="str">
        <f>HYPERLINK("https://psearch.kitsapgov.com/webappa/index.html?parcelID=2600203&amp;Theme=Imagery","2600203")</f>
        <v>2600203</v>
      </c>
      <c r="G347" s="16" t="s">
        <v>5291</v>
      </c>
      <c r="H347" s="17">
        <v>42731</v>
      </c>
      <c r="I347" s="18">
        <v>600000</v>
      </c>
      <c r="J347" s="19">
        <v>0.16</v>
      </c>
      <c r="K347" s="16" t="s">
        <v>457</v>
      </c>
      <c r="L347" s="16" t="s">
        <v>4645</v>
      </c>
      <c r="M347" s="16" t="s">
        <v>5292</v>
      </c>
      <c r="N347" s="16" t="s">
        <v>2163</v>
      </c>
    </row>
    <row r="348" spans="1:14" ht="20.100000000000001" customHeight="1" x14ac:dyDescent="0.25">
      <c r="A348" s="15" t="s">
        <v>5289</v>
      </c>
      <c r="B348" s="16" t="s">
        <v>57</v>
      </c>
      <c r="C348" s="15">
        <v>8100505</v>
      </c>
      <c r="D348" s="16" t="s">
        <v>17</v>
      </c>
      <c r="E348" s="15" t="s">
        <v>5294</v>
      </c>
      <c r="F348" s="21" t="str">
        <f>HYPERLINK("https://psearch.kitsapgov.com/webappa/index.html?parcelID=2600211&amp;Theme=Imagery","2600211")</f>
        <v>2600211</v>
      </c>
      <c r="G348" s="16" t="s">
        <v>5291</v>
      </c>
      <c r="H348" s="17">
        <v>42731</v>
      </c>
      <c r="I348" s="18">
        <v>600000</v>
      </c>
      <c r="J348" s="19">
        <v>0.16</v>
      </c>
      <c r="K348" s="16" t="s">
        <v>457</v>
      </c>
      <c r="L348" s="16" t="s">
        <v>4645</v>
      </c>
      <c r="M348" s="16" t="s">
        <v>5292</v>
      </c>
      <c r="N348" s="16" t="s">
        <v>2163</v>
      </c>
    </row>
    <row r="349" spans="1:14" ht="20.100000000000001" customHeight="1" x14ac:dyDescent="0.25">
      <c r="A349" s="15" t="s">
        <v>5289</v>
      </c>
      <c r="B349" s="16" t="s">
        <v>57</v>
      </c>
      <c r="C349" s="15">
        <v>8100505</v>
      </c>
      <c r="D349" s="16" t="s">
        <v>17</v>
      </c>
      <c r="E349" s="15" t="s">
        <v>5295</v>
      </c>
      <c r="F349" s="21" t="str">
        <f>HYPERLINK("https://psearch.kitsapgov.com/webappa/index.html?parcelID=2600229&amp;Theme=Imagery","2600229")</f>
        <v>2600229</v>
      </c>
      <c r="G349" s="16" t="s">
        <v>5291</v>
      </c>
      <c r="H349" s="17">
        <v>42731</v>
      </c>
      <c r="I349" s="18">
        <v>600000</v>
      </c>
      <c r="J349" s="19">
        <v>0.16</v>
      </c>
      <c r="K349" s="16" t="s">
        <v>457</v>
      </c>
      <c r="L349" s="16" t="s">
        <v>4645</v>
      </c>
      <c r="M349" s="16" t="s">
        <v>5292</v>
      </c>
      <c r="N349" s="16" t="s">
        <v>2163</v>
      </c>
    </row>
    <row r="350" spans="1:14" ht="20.100000000000001" customHeight="1" x14ac:dyDescent="0.25">
      <c r="A350" s="15" t="s">
        <v>5289</v>
      </c>
      <c r="B350" s="16" t="s">
        <v>57</v>
      </c>
      <c r="C350" s="15">
        <v>8100505</v>
      </c>
      <c r="D350" s="16" t="s">
        <v>17</v>
      </c>
      <c r="E350" s="15" t="s">
        <v>5296</v>
      </c>
      <c r="F350" s="21" t="str">
        <f>HYPERLINK("https://psearch.kitsapgov.com/webappa/index.html?parcelID=2600237&amp;Theme=Imagery","2600237")</f>
        <v>2600237</v>
      </c>
      <c r="G350" s="16" t="s">
        <v>5297</v>
      </c>
      <c r="H350" s="17">
        <v>42731</v>
      </c>
      <c r="I350" s="18">
        <v>600000</v>
      </c>
      <c r="J350" s="19">
        <v>0.16</v>
      </c>
      <c r="K350" s="16" t="s">
        <v>457</v>
      </c>
      <c r="L350" s="16" t="s">
        <v>4645</v>
      </c>
      <c r="M350" s="16" t="s">
        <v>5292</v>
      </c>
      <c r="N350" s="16" t="s">
        <v>2163</v>
      </c>
    </row>
    <row r="351" spans="1:14" ht="20.100000000000001" customHeight="1" x14ac:dyDescent="0.25">
      <c r="A351" s="15" t="s">
        <v>5289</v>
      </c>
      <c r="B351" s="16" t="s">
        <v>57</v>
      </c>
      <c r="C351" s="15">
        <v>8100505</v>
      </c>
      <c r="D351" s="16" t="s">
        <v>17</v>
      </c>
      <c r="E351" s="15" t="s">
        <v>5298</v>
      </c>
      <c r="F351" s="21" t="str">
        <f>HYPERLINK("https://psearch.kitsapgov.com/webappa/index.html?parcelID=2600245&amp;Theme=Imagery","2600245")</f>
        <v>2600245</v>
      </c>
      <c r="G351" s="16" t="s">
        <v>5297</v>
      </c>
      <c r="H351" s="17">
        <v>42731</v>
      </c>
      <c r="I351" s="18">
        <v>600000</v>
      </c>
      <c r="J351" s="19">
        <v>0.17</v>
      </c>
      <c r="K351" s="16" t="s">
        <v>457</v>
      </c>
      <c r="L351" s="16" t="s">
        <v>4645</v>
      </c>
      <c r="M351" s="16" t="s">
        <v>5292</v>
      </c>
      <c r="N351" s="16" t="s">
        <v>2163</v>
      </c>
    </row>
    <row r="352" spans="1:14" ht="20.100000000000001" customHeight="1" x14ac:dyDescent="0.25">
      <c r="A352" s="15" t="s">
        <v>5289</v>
      </c>
      <c r="B352" s="16" t="s">
        <v>57</v>
      </c>
      <c r="C352" s="15">
        <v>8100505</v>
      </c>
      <c r="D352" s="16" t="s">
        <v>17</v>
      </c>
      <c r="E352" s="15" t="s">
        <v>5299</v>
      </c>
      <c r="F352" s="21" t="str">
        <f>HYPERLINK("https://psearch.kitsapgov.com/webappa/index.html?parcelID=2600252&amp;Theme=Imagery","2600252")</f>
        <v>2600252</v>
      </c>
      <c r="G352" s="16" t="s">
        <v>5297</v>
      </c>
      <c r="H352" s="17">
        <v>42731</v>
      </c>
      <c r="I352" s="18">
        <v>600000</v>
      </c>
      <c r="J352" s="19">
        <v>0.1</v>
      </c>
      <c r="K352" s="16" t="s">
        <v>457</v>
      </c>
      <c r="L352" s="16" t="s">
        <v>4645</v>
      </c>
      <c r="M352" s="16" t="s">
        <v>5292</v>
      </c>
      <c r="N352" s="16" t="s">
        <v>2163</v>
      </c>
    </row>
    <row r="353" spans="1:14" ht="39.950000000000003" customHeight="1" x14ac:dyDescent="0.25">
      <c r="A353" s="15" t="s">
        <v>5300</v>
      </c>
      <c r="B353" s="16" t="s">
        <v>57</v>
      </c>
      <c r="C353" s="15">
        <v>7402402</v>
      </c>
      <c r="D353" s="16" t="s">
        <v>5301</v>
      </c>
      <c r="E353" s="15" t="s">
        <v>5302</v>
      </c>
      <c r="F353" s="21" t="str">
        <f>HYPERLINK("https://psearch.kitsapgov.com/webappa/index.html?parcelID=2411353&amp;Theme=Imagery","2411353")</f>
        <v>2411353</v>
      </c>
      <c r="G353" s="16" t="s">
        <v>107</v>
      </c>
      <c r="H353" s="17">
        <v>42759</v>
      </c>
      <c r="I353" s="18">
        <v>3075000</v>
      </c>
      <c r="J353" s="19">
        <v>12.79</v>
      </c>
      <c r="K353" s="16" t="s">
        <v>128</v>
      </c>
      <c r="L353" s="16" t="s">
        <v>4656</v>
      </c>
      <c r="M353" s="16" t="s">
        <v>5303</v>
      </c>
      <c r="N353" s="16" t="s">
        <v>5304</v>
      </c>
    </row>
    <row r="354" spans="1:14" ht="20.100000000000001" customHeight="1" x14ac:dyDescent="0.25">
      <c r="A354" s="15" t="s">
        <v>5300</v>
      </c>
      <c r="B354" s="16" t="s">
        <v>704</v>
      </c>
      <c r="C354" s="15">
        <v>9402402</v>
      </c>
      <c r="D354" s="16" t="s">
        <v>1382</v>
      </c>
      <c r="E354" s="15" t="s">
        <v>5305</v>
      </c>
      <c r="F354" s="21" t="str">
        <f>HYPERLINK("https://psearch.kitsapgov.com/webappa/index.html?parcelID=2411361&amp;Theme=Imagery","2411361")</f>
        <v>2411361</v>
      </c>
      <c r="G354" s="16" t="s">
        <v>5306</v>
      </c>
      <c r="H354" s="17">
        <v>42759</v>
      </c>
      <c r="I354" s="18">
        <v>3075000</v>
      </c>
      <c r="J354" s="19">
        <v>20.96</v>
      </c>
      <c r="K354" s="16" t="s">
        <v>128</v>
      </c>
      <c r="L354" s="16" t="s">
        <v>4656</v>
      </c>
      <c r="M354" s="16" t="s">
        <v>5303</v>
      </c>
      <c r="N354" s="16" t="s">
        <v>5304</v>
      </c>
    </row>
    <row r="355" spans="1:14" ht="39.950000000000003" customHeight="1" x14ac:dyDescent="0.25">
      <c r="A355" s="15" t="s">
        <v>5307</v>
      </c>
      <c r="B355" s="16" t="s">
        <v>57</v>
      </c>
      <c r="C355" s="15">
        <v>8402306</v>
      </c>
      <c r="D355" s="16" t="s">
        <v>34</v>
      </c>
      <c r="E355" s="15" t="s">
        <v>5308</v>
      </c>
      <c r="F355" s="21" t="str">
        <f>HYPERLINK("https://psearch.kitsapgov.com/webappa/index.html?parcelID=1513191&amp;Theme=Imagery","1513191")</f>
        <v>1513191</v>
      </c>
      <c r="G355" s="16" t="s">
        <v>5309</v>
      </c>
      <c r="H355" s="17">
        <v>42762</v>
      </c>
      <c r="I355" s="18">
        <v>10000</v>
      </c>
      <c r="J355" s="19">
        <v>0.09</v>
      </c>
      <c r="K355" s="16" t="s">
        <v>154</v>
      </c>
      <c r="L355" s="16" t="s">
        <v>20</v>
      </c>
      <c r="M355" s="16" t="s">
        <v>1374</v>
      </c>
      <c r="N355" s="16" t="s">
        <v>5310</v>
      </c>
    </row>
    <row r="356" spans="1:14" ht="20.100000000000001" customHeight="1" x14ac:dyDescent="0.25">
      <c r="A356" s="15" t="s">
        <v>5307</v>
      </c>
      <c r="B356" s="16" t="s">
        <v>57</v>
      </c>
      <c r="C356" s="15">
        <v>8402306</v>
      </c>
      <c r="D356" s="16" t="s">
        <v>34</v>
      </c>
      <c r="E356" s="15" t="s">
        <v>5311</v>
      </c>
      <c r="F356" s="21" t="str">
        <f>HYPERLINK("https://psearch.kitsapgov.com/webappa/index.html?parcelID=1513209&amp;Theme=Imagery","1513209")</f>
        <v>1513209</v>
      </c>
      <c r="G356" s="16" t="s">
        <v>5309</v>
      </c>
      <c r="H356" s="17">
        <v>42762</v>
      </c>
      <c r="I356" s="18">
        <v>10000</v>
      </c>
      <c r="J356" s="19">
        <v>0.04</v>
      </c>
      <c r="K356" s="16" t="s">
        <v>154</v>
      </c>
      <c r="L356" s="16" t="s">
        <v>20</v>
      </c>
      <c r="M356" s="16" t="s">
        <v>1374</v>
      </c>
      <c r="N356" s="16" t="s">
        <v>5310</v>
      </c>
    </row>
    <row r="357" spans="1:14" ht="39.950000000000003" customHeight="1" x14ac:dyDescent="0.25">
      <c r="A357" s="15" t="s">
        <v>5312</v>
      </c>
      <c r="B357" s="16" t="s">
        <v>89</v>
      </c>
      <c r="C357" s="15">
        <v>8303601</v>
      </c>
      <c r="D357" s="16" t="s">
        <v>50</v>
      </c>
      <c r="E357" s="15" t="s">
        <v>5313</v>
      </c>
      <c r="F357" s="21" t="str">
        <f>HYPERLINK("https://psearch.kitsapgov.com/webappa/index.html?parcelID=2581692&amp;Theme=Imagery","2581692")</f>
        <v>2581692</v>
      </c>
      <c r="G357" s="16" t="s">
        <v>5314</v>
      </c>
      <c r="H357" s="17">
        <v>42769</v>
      </c>
      <c r="I357" s="18">
        <v>15045537</v>
      </c>
      <c r="J357" s="19">
        <v>1.57</v>
      </c>
      <c r="K357" s="16" t="s">
        <v>53</v>
      </c>
      <c r="L357" s="16" t="s">
        <v>4645</v>
      </c>
      <c r="M357" s="16" t="s">
        <v>4511</v>
      </c>
      <c r="N357" s="16" t="s">
        <v>5315</v>
      </c>
    </row>
    <row r="358" spans="1:14" ht="20.100000000000001" customHeight="1" x14ac:dyDescent="0.25">
      <c r="A358" s="15" t="s">
        <v>5312</v>
      </c>
      <c r="B358" s="16" t="s">
        <v>265</v>
      </c>
      <c r="C358" s="15">
        <v>8303601</v>
      </c>
      <c r="D358" s="16" t="s">
        <v>50</v>
      </c>
      <c r="E358" s="15" t="s">
        <v>5316</v>
      </c>
      <c r="F358" s="21" t="str">
        <f>HYPERLINK("https://psearch.kitsapgov.com/webappa/index.html?parcelID=2581718&amp;Theme=Imagery","2581718")</f>
        <v>2581718</v>
      </c>
      <c r="G358" s="16" t="s">
        <v>5317</v>
      </c>
      <c r="H358" s="17">
        <v>42769</v>
      </c>
      <c r="I358" s="18">
        <v>15045537</v>
      </c>
      <c r="J358" s="19">
        <v>0.89</v>
      </c>
      <c r="K358" s="16" t="s">
        <v>2766</v>
      </c>
      <c r="L358" s="16" t="s">
        <v>4645</v>
      </c>
      <c r="M358" s="16" t="s">
        <v>4511</v>
      </c>
      <c r="N358" s="16" t="s">
        <v>5315</v>
      </c>
    </row>
    <row r="359" spans="1:14" ht="39.950000000000003" customHeight="1" x14ac:dyDescent="0.25">
      <c r="A359" s="15" t="s">
        <v>5318</v>
      </c>
      <c r="B359" s="16" t="s">
        <v>393</v>
      </c>
      <c r="C359" s="15">
        <v>9402390</v>
      </c>
      <c r="D359" s="16" t="s">
        <v>271</v>
      </c>
      <c r="E359" s="15" t="s">
        <v>5319</v>
      </c>
      <c r="F359" s="21" t="str">
        <f>HYPERLINK("https://psearch.kitsapgov.com/webappa/index.html?parcelID=2175115&amp;Theme=Imagery","2175115")</f>
        <v>2175115</v>
      </c>
      <c r="G359" s="16" t="s">
        <v>5320</v>
      </c>
      <c r="H359" s="17">
        <v>42779</v>
      </c>
      <c r="I359" s="18">
        <v>38150000</v>
      </c>
      <c r="J359" s="19">
        <v>12.49</v>
      </c>
      <c r="K359" s="16" t="s">
        <v>1373</v>
      </c>
      <c r="L359" s="16" t="s">
        <v>4656</v>
      </c>
      <c r="M359" s="16" t="s">
        <v>5321</v>
      </c>
      <c r="N359" s="16" t="s">
        <v>5322</v>
      </c>
    </row>
    <row r="360" spans="1:14" ht="20.100000000000001" customHeight="1" x14ac:dyDescent="0.25">
      <c r="A360" s="15" t="s">
        <v>5318</v>
      </c>
      <c r="B360" s="16" t="s">
        <v>393</v>
      </c>
      <c r="C360" s="15">
        <v>9402390</v>
      </c>
      <c r="D360" s="16" t="s">
        <v>271</v>
      </c>
      <c r="E360" s="15" t="s">
        <v>5323</v>
      </c>
      <c r="F360" s="21" t="str">
        <f>HYPERLINK("https://psearch.kitsapgov.com/webappa/index.html?parcelID=2175123&amp;Theme=Imagery","2175123")</f>
        <v>2175123</v>
      </c>
      <c r="G360" s="16" t="s">
        <v>5324</v>
      </c>
      <c r="H360" s="17">
        <v>42779</v>
      </c>
      <c r="I360" s="18">
        <v>38150000</v>
      </c>
      <c r="J360" s="19">
        <v>6.04</v>
      </c>
      <c r="K360" s="16" t="s">
        <v>1373</v>
      </c>
      <c r="L360" s="16" t="s">
        <v>4656</v>
      </c>
      <c r="M360" s="16" t="s">
        <v>5321</v>
      </c>
      <c r="N360" s="16" t="s">
        <v>5322</v>
      </c>
    </row>
    <row r="361" spans="1:14" ht="39.950000000000003" customHeight="1" x14ac:dyDescent="0.25">
      <c r="A361" s="15" t="s">
        <v>5325</v>
      </c>
      <c r="B361" s="16" t="s">
        <v>49</v>
      </c>
      <c r="C361" s="15">
        <v>7402405</v>
      </c>
      <c r="D361" s="16" t="s">
        <v>5326</v>
      </c>
      <c r="E361" s="15" t="s">
        <v>5327</v>
      </c>
      <c r="F361" s="21" t="str">
        <f>HYPERLINK("https://psearch.kitsapgov.com/webappa/index.html?parcelID=1917988&amp;Theme=Imagery","1917988")</f>
        <v>1917988</v>
      </c>
      <c r="G361" s="16" t="s">
        <v>107</v>
      </c>
      <c r="H361" s="17">
        <v>42775</v>
      </c>
      <c r="I361" s="18">
        <v>355000</v>
      </c>
      <c r="J361" s="19">
        <v>2.94</v>
      </c>
      <c r="K361" s="16" t="s">
        <v>128</v>
      </c>
      <c r="L361" s="16" t="s">
        <v>290</v>
      </c>
      <c r="M361" s="16" t="s">
        <v>5328</v>
      </c>
      <c r="N361" s="16" t="s">
        <v>1287</v>
      </c>
    </row>
    <row r="362" spans="1:14" ht="20.100000000000001" customHeight="1" x14ac:dyDescent="0.25">
      <c r="A362" s="15" t="s">
        <v>5325</v>
      </c>
      <c r="B362" s="16" t="s">
        <v>1283</v>
      </c>
      <c r="C362" s="15">
        <v>9402405</v>
      </c>
      <c r="D362" s="16" t="s">
        <v>5329</v>
      </c>
      <c r="E362" s="15" t="s">
        <v>5330</v>
      </c>
      <c r="F362" s="21" t="str">
        <f>HYPERLINK("https://psearch.kitsapgov.com/webappa/index.html?parcelID=2617231&amp;Theme=Imagery","2617231")</f>
        <v>2617231</v>
      </c>
      <c r="G362" s="16" t="s">
        <v>5331</v>
      </c>
      <c r="H362" s="17">
        <v>42775</v>
      </c>
      <c r="I362" s="18">
        <v>355000</v>
      </c>
      <c r="J362" s="19">
        <v>0</v>
      </c>
      <c r="L362" s="16" t="s">
        <v>290</v>
      </c>
      <c r="M362" s="16" t="s">
        <v>5328</v>
      </c>
      <c r="N362" s="16" t="s">
        <v>1287</v>
      </c>
    </row>
    <row r="363" spans="1:14" ht="39.950000000000003" customHeight="1" x14ac:dyDescent="0.25">
      <c r="A363" s="15" t="s">
        <v>5332</v>
      </c>
      <c r="B363" s="16" t="s">
        <v>1031</v>
      </c>
      <c r="C363" s="15">
        <v>8402307</v>
      </c>
      <c r="D363" s="16" t="s">
        <v>151</v>
      </c>
      <c r="E363" s="15" t="s">
        <v>4691</v>
      </c>
      <c r="F363" s="21" t="str">
        <f>HYPERLINK("https://psearch.kitsapgov.com/webappa/index.html?parcelID=1999663&amp;Theme=Imagery","1999663")</f>
        <v>1999663</v>
      </c>
      <c r="G363" s="16" t="s">
        <v>4692</v>
      </c>
      <c r="H363" s="17">
        <v>42769</v>
      </c>
      <c r="I363" s="18">
        <v>50000</v>
      </c>
      <c r="J363" s="19">
        <v>9.24</v>
      </c>
      <c r="K363" s="16" t="s">
        <v>333</v>
      </c>
      <c r="L363" s="16" t="s">
        <v>290</v>
      </c>
      <c r="M363" s="16" t="s">
        <v>5333</v>
      </c>
      <c r="N363" s="16" t="s">
        <v>4693</v>
      </c>
    </row>
    <row r="364" spans="1:14" ht="20.100000000000001" customHeight="1" x14ac:dyDescent="0.25">
      <c r="A364" s="15" t="s">
        <v>5332</v>
      </c>
      <c r="B364" s="16" t="s">
        <v>1031</v>
      </c>
      <c r="C364" s="15">
        <v>8402307</v>
      </c>
      <c r="D364" s="16" t="s">
        <v>151</v>
      </c>
      <c r="E364" s="15" t="s">
        <v>4695</v>
      </c>
      <c r="F364" s="21" t="str">
        <f>HYPERLINK("https://psearch.kitsapgov.com/webappa/index.html?parcelID=2294106&amp;Theme=Imagery","2294106")</f>
        <v>2294106</v>
      </c>
      <c r="G364" s="16" t="s">
        <v>4696</v>
      </c>
      <c r="H364" s="17">
        <v>42769</v>
      </c>
      <c r="I364" s="18">
        <v>50000</v>
      </c>
      <c r="J364" s="19">
        <v>4.6900000000000004</v>
      </c>
      <c r="K364" s="16" t="s">
        <v>333</v>
      </c>
      <c r="L364" s="16" t="s">
        <v>290</v>
      </c>
      <c r="M364" s="16" t="s">
        <v>5333</v>
      </c>
      <c r="N364" s="16" t="s">
        <v>4693</v>
      </c>
    </row>
    <row r="365" spans="1:14" ht="39.950000000000003" customHeight="1" x14ac:dyDescent="0.25">
      <c r="A365" s="15" t="s">
        <v>5334</v>
      </c>
      <c r="B365" s="16" t="s">
        <v>368</v>
      </c>
      <c r="C365" s="15">
        <v>8100505</v>
      </c>
      <c r="D365" s="16" t="s">
        <v>17</v>
      </c>
      <c r="E365" s="15" t="s">
        <v>5335</v>
      </c>
      <c r="F365" s="21" t="str">
        <f>HYPERLINK("https://psearch.kitsapgov.com/webappa/index.html?parcelID=1490424&amp;Theme=Imagery","1490424")</f>
        <v>1490424</v>
      </c>
      <c r="G365" s="16" t="s">
        <v>5336</v>
      </c>
      <c r="H365" s="17">
        <v>42779</v>
      </c>
      <c r="I365" s="18">
        <v>850000</v>
      </c>
      <c r="J365" s="19">
        <v>0.82</v>
      </c>
      <c r="K365" s="16" t="s">
        <v>457</v>
      </c>
      <c r="L365" s="16" t="s">
        <v>4656</v>
      </c>
      <c r="M365" s="16" t="s">
        <v>5337</v>
      </c>
      <c r="N365" s="16" t="s">
        <v>5338</v>
      </c>
    </row>
    <row r="366" spans="1:14" ht="20.100000000000001" customHeight="1" x14ac:dyDescent="0.25">
      <c r="A366" s="15" t="s">
        <v>5334</v>
      </c>
      <c r="B366" s="16" t="s">
        <v>368</v>
      </c>
      <c r="C366" s="15">
        <v>8100505</v>
      </c>
      <c r="D366" s="16" t="s">
        <v>17</v>
      </c>
      <c r="E366" s="15" t="s">
        <v>5339</v>
      </c>
      <c r="F366" s="21" t="str">
        <f>HYPERLINK("https://psearch.kitsapgov.com/webappa/index.html?parcelID=2267680&amp;Theme=Imagery","2267680")</f>
        <v>2267680</v>
      </c>
      <c r="G366" s="16" t="s">
        <v>5340</v>
      </c>
      <c r="H366" s="17">
        <v>42779</v>
      </c>
      <c r="I366" s="18">
        <v>850000</v>
      </c>
      <c r="J366" s="19">
        <v>0.55000000000000004</v>
      </c>
      <c r="K366" s="16" t="s">
        <v>457</v>
      </c>
      <c r="L366" s="16" t="s">
        <v>4656</v>
      </c>
      <c r="M366" s="16" t="s">
        <v>5337</v>
      </c>
      <c r="N366" s="16" t="s">
        <v>5338</v>
      </c>
    </row>
    <row r="367" spans="1:14" ht="39.950000000000003" customHeight="1" x14ac:dyDescent="0.25">
      <c r="A367" s="15" t="s">
        <v>5341</v>
      </c>
      <c r="B367" s="16" t="s">
        <v>89</v>
      </c>
      <c r="C367" s="15">
        <v>8401508</v>
      </c>
      <c r="D367" s="16" t="s">
        <v>90</v>
      </c>
      <c r="E367" s="15" t="s">
        <v>5342</v>
      </c>
      <c r="F367" s="21" t="str">
        <f>HYPERLINK("https://psearch.kitsapgov.com/webappa/index.html?parcelID=1916378&amp;Theme=Imagery","1916378")</f>
        <v>1916378</v>
      </c>
      <c r="G367" s="16" t="s">
        <v>5343</v>
      </c>
      <c r="H367" s="17">
        <v>42788</v>
      </c>
      <c r="I367" s="18">
        <v>1000000</v>
      </c>
      <c r="J367" s="19">
        <v>1.1399999999999999</v>
      </c>
      <c r="K367" s="16" t="s">
        <v>78</v>
      </c>
      <c r="L367" s="16" t="s">
        <v>4645</v>
      </c>
      <c r="M367" s="16" t="s">
        <v>5344</v>
      </c>
      <c r="N367" s="16" t="s">
        <v>5345</v>
      </c>
    </row>
    <row r="368" spans="1:14" ht="20.100000000000001" customHeight="1" x14ac:dyDescent="0.25">
      <c r="A368" s="15" t="s">
        <v>5341</v>
      </c>
      <c r="B368" s="16" t="s">
        <v>89</v>
      </c>
      <c r="C368" s="15">
        <v>8401508</v>
      </c>
      <c r="D368" s="16" t="s">
        <v>90</v>
      </c>
      <c r="E368" s="15" t="s">
        <v>5346</v>
      </c>
      <c r="F368" s="21" t="str">
        <f>HYPERLINK("https://psearch.kitsapgov.com/webappa/index.html?parcelID=1280007&amp;Theme=Imagery","1280007")</f>
        <v>1280007</v>
      </c>
      <c r="G368" s="16" t="s">
        <v>5347</v>
      </c>
      <c r="H368" s="17">
        <v>42788</v>
      </c>
      <c r="I368" s="18">
        <v>1000000</v>
      </c>
      <c r="J368" s="19">
        <v>0.62</v>
      </c>
      <c r="K368" s="16" t="s">
        <v>78</v>
      </c>
      <c r="L368" s="16" t="s">
        <v>4645</v>
      </c>
      <c r="M368" s="16" t="s">
        <v>5344</v>
      </c>
      <c r="N368" s="16" t="s">
        <v>5345</v>
      </c>
    </row>
    <row r="369" spans="1:14" ht="39.950000000000003" customHeight="1" x14ac:dyDescent="0.25">
      <c r="A369" s="15" t="s">
        <v>5348</v>
      </c>
      <c r="B369" s="16" t="s">
        <v>33</v>
      </c>
      <c r="C369" s="15">
        <v>8303601</v>
      </c>
      <c r="D369" s="16" t="s">
        <v>50</v>
      </c>
      <c r="E369" s="15" t="s">
        <v>5349</v>
      </c>
      <c r="F369" s="21" t="str">
        <f>HYPERLINK("https://psearch.kitsapgov.com/webappa/index.html?parcelID=2393569&amp;Theme=Imagery","2393569")</f>
        <v>2393569</v>
      </c>
      <c r="G369" s="16" t="s">
        <v>5350</v>
      </c>
      <c r="H369" s="17">
        <v>42793</v>
      </c>
      <c r="I369" s="18">
        <v>6300000</v>
      </c>
      <c r="J369" s="19">
        <v>0.97</v>
      </c>
      <c r="K369" s="16" t="s">
        <v>1939</v>
      </c>
      <c r="L369" s="16" t="s">
        <v>4645</v>
      </c>
      <c r="M369" s="16" t="s">
        <v>5351</v>
      </c>
      <c r="N369" s="16" t="s">
        <v>5352</v>
      </c>
    </row>
    <row r="370" spans="1:14" ht="20.100000000000001" customHeight="1" x14ac:dyDescent="0.25">
      <c r="A370" s="15" t="s">
        <v>5348</v>
      </c>
      <c r="B370" s="16" t="s">
        <v>33</v>
      </c>
      <c r="C370" s="15">
        <v>8303601</v>
      </c>
      <c r="D370" s="16" t="s">
        <v>50</v>
      </c>
      <c r="E370" s="15" t="s">
        <v>5353</v>
      </c>
      <c r="F370" s="21" t="str">
        <f>HYPERLINK("https://psearch.kitsapgov.com/webappa/index.html?parcelID=2393577&amp;Theme=Imagery","2393577")</f>
        <v>2393577</v>
      </c>
      <c r="G370" s="16" t="s">
        <v>5354</v>
      </c>
      <c r="H370" s="17">
        <v>42793</v>
      </c>
      <c r="I370" s="18">
        <v>6300000</v>
      </c>
      <c r="J370" s="19">
        <v>0.72</v>
      </c>
      <c r="K370" s="16" t="s">
        <v>1939</v>
      </c>
      <c r="L370" s="16" t="s">
        <v>4645</v>
      </c>
      <c r="M370" s="16" t="s">
        <v>5351</v>
      </c>
      <c r="N370" s="16" t="s">
        <v>5352</v>
      </c>
    </row>
    <row r="371" spans="1:14" ht="20.100000000000001" customHeight="1" x14ac:dyDescent="0.25">
      <c r="A371" s="15" t="s">
        <v>5348</v>
      </c>
      <c r="B371" s="16" t="s">
        <v>33</v>
      </c>
      <c r="C371" s="15">
        <v>8303601</v>
      </c>
      <c r="D371" s="16" t="s">
        <v>50</v>
      </c>
      <c r="E371" s="15" t="s">
        <v>5355</v>
      </c>
      <c r="F371" s="21" t="str">
        <f>HYPERLINK("https://psearch.kitsapgov.com/webappa/index.html?parcelID=2393585&amp;Theme=Imagery","2393585")</f>
        <v>2393585</v>
      </c>
      <c r="G371" s="16" t="s">
        <v>5356</v>
      </c>
      <c r="H371" s="17">
        <v>42793</v>
      </c>
      <c r="I371" s="18">
        <v>6300000</v>
      </c>
      <c r="J371" s="19">
        <v>0.72</v>
      </c>
      <c r="K371" s="16" t="s">
        <v>1939</v>
      </c>
      <c r="L371" s="16" t="s">
        <v>4645</v>
      </c>
      <c r="M371" s="16" t="s">
        <v>5351</v>
      </c>
      <c r="N371" s="16" t="s">
        <v>5352</v>
      </c>
    </row>
    <row r="372" spans="1:14" ht="39.950000000000003" customHeight="1" x14ac:dyDescent="0.25">
      <c r="A372" s="15" t="s">
        <v>5357</v>
      </c>
      <c r="B372" s="16" t="s">
        <v>4739</v>
      </c>
      <c r="C372" s="15">
        <v>8100506</v>
      </c>
      <c r="D372" s="16" t="s">
        <v>25</v>
      </c>
      <c r="E372" s="15" t="s">
        <v>5358</v>
      </c>
      <c r="F372" s="21" t="str">
        <f>HYPERLINK("https://psearch.kitsapgov.com/webappa/index.html?parcelID=1878073&amp;Theme=Imagery","1878073")</f>
        <v>1878073</v>
      </c>
      <c r="G372" s="16" t="s">
        <v>5359</v>
      </c>
      <c r="H372" s="17">
        <v>42797</v>
      </c>
      <c r="I372" s="18">
        <v>1895000</v>
      </c>
      <c r="J372" s="19">
        <v>0.28000000000000003</v>
      </c>
      <c r="L372" s="16" t="s">
        <v>38</v>
      </c>
      <c r="M372" s="16" t="s">
        <v>5360</v>
      </c>
      <c r="N372" s="16" t="s">
        <v>446</v>
      </c>
    </row>
    <row r="373" spans="1:14" ht="20.100000000000001" customHeight="1" x14ac:dyDescent="0.25">
      <c r="A373" s="15" t="s">
        <v>5357</v>
      </c>
      <c r="B373" s="16" t="s">
        <v>1161</v>
      </c>
      <c r="C373" s="15">
        <v>9100543</v>
      </c>
      <c r="D373" s="16" t="s">
        <v>807</v>
      </c>
      <c r="E373" s="15" t="s">
        <v>5361</v>
      </c>
      <c r="F373" s="21" t="str">
        <f>HYPERLINK("https://psearch.kitsapgov.com/webappa/index.html?parcelID=1878081&amp;Theme=Imagery","1878081")</f>
        <v>1878081</v>
      </c>
      <c r="G373" s="16" t="s">
        <v>5362</v>
      </c>
      <c r="H373" s="17">
        <v>42797</v>
      </c>
      <c r="I373" s="18">
        <v>1895000</v>
      </c>
      <c r="J373" s="19">
        <v>0</v>
      </c>
      <c r="L373" s="16" t="s">
        <v>38</v>
      </c>
      <c r="M373" s="16" t="s">
        <v>5360</v>
      </c>
      <c r="N373" s="16" t="s">
        <v>446</v>
      </c>
    </row>
    <row r="374" spans="1:14" ht="20.100000000000001" customHeight="1" x14ac:dyDescent="0.25">
      <c r="A374" s="15" t="s">
        <v>5357</v>
      </c>
      <c r="B374" s="16" t="s">
        <v>1161</v>
      </c>
      <c r="C374" s="15">
        <v>9100543</v>
      </c>
      <c r="D374" s="16" t="s">
        <v>807</v>
      </c>
      <c r="E374" s="15" t="s">
        <v>5363</v>
      </c>
      <c r="F374" s="21" t="str">
        <f>HYPERLINK("https://psearch.kitsapgov.com/webappa/index.html?parcelID=1878099&amp;Theme=Imagery","1878099")</f>
        <v>1878099</v>
      </c>
      <c r="G374" s="16" t="s">
        <v>5364</v>
      </c>
      <c r="H374" s="17">
        <v>42797</v>
      </c>
      <c r="I374" s="18">
        <v>1895000</v>
      </c>
      <c r="J374" s="19">
        <v>0</v>
      </c>
      <c r="L374" s="16" t="s">
        <v>38</v>
      </c>
      <c r="M374" s="16" t="s">
        <v>5360</v>
      </c>
      <c r="N374" s="16" t="s">
        <v>446</v>
      </c>
    </row>
    <row r="375" spans="1:14" ht="20.100000000000001" customHeight="1" x14ac:dyDescent="0.25">
      <c r="A375" s="15" t="s">
        <v>5357</v>
      </c>
      <c r="B375" s="16" t="s">
        <v>1161</v>
      </c>
      <c r="C375" s="15">
        <v>9100543</v>
      </c>
      <c r="D375" s="16" t="s">
        <v>807</v>
      </c>
      <c r="E375" s="15" t="s">
        <v>5365</v>
      </c>
      <c r="F375" s="21" t="str">
        <f>HYPERLINK("https://psearch.kitsapgov.com/webappa/index.html?parcelID=1878107&amp;Theme=Imagery","1878107")</f>
        <v>1878107</v>
      </c>
      <c r="G375" s="16" t="s">
        <v>5366</v>
      </c>
      <c r="H375" s="17">
        <v>42797</v>
      </c>
      <c r="I375" s="18">
        <v>1895000</v>
      </c>
      <c r="J375" s="19">
        <v>0</v>
      </c>
      <c r="L375" s="16" t="s">
        <v>38</v>
      </c>
      <c r="M375" s="16" t="s">
        <v>5360</v>
      </c>
      <c r="N375" s="16" t="s">
        <v>446</v>
      </c>
    </row>
    <row r="376" spans="1:14" ht="20.100000000000001" customHeight="1" x14ac:dyDescent="0.25">
      <c r="A376" s="15" t="s">
        <v>5357</v>
      </c>
      <c r="B376" s="16" t="s">
        <v>1161</v>
      </c>
      <c r="C376" s="15">
        <v>9100543</v>
      </c>
      <c r="D376" s="16" t="s">
        <v>807</v>
      </c>
      <c r="E376" s="15" t="s">
        <v>5367</v>
      </c>
      <c r="F376" s="21" t="str">
        <f>HYPERLINK("https://psearch.kitsapgov.com/webappa/index.html?parcelID=1878115&amp;Theme=Imagery","1878115")</f>
        <v>1878115</v>
      </c>
      <c r="G376" s="16" t="s">
        <v>5368</v>
      </c>
      <c r="H376" s="17">
        <v>42797</v>
      </c>
      <c r="I376" s="18">
        <v>1895000</v>
      </c>
      <c r="J376" s="19">
        <v>0</v>
      </c>
      <c r="L376" s="16" t="s">
        <v>38</v>
      </c>
      <c r="M376" s="16" t="s">
        <v>5360</v>
      </c>
      <c r="N376" s="16" t="s">
        <v>446</v>
      </c>
    </row>
    <row r="377" spans="1:14" ht="20.100000000000001" customHeight="1" x14ac:dyDescent="0.25">
      <c r="A377" s="15" t="s">
        <v>5357</v>
      </c>
      <c r="B377" s="16" t="s">
        <v>1161</v>
      </c>
      <c r="C377" s="15">
        <v>9100543</v>
      </c>
      <c r="D377" s="16" t="s">
        <v>807</v>
      </c>
      <c r="E377" s="15" t="s">
        <v>5369</v>
      </c>
      <c r="F377" s="21" t="str">
        <f>HYPERLINK("https://psearch.kitsapgov.com/webappa/index.html?parcelID=1878123&amp;Theme=Imagery","1878123")</f>
        <v>1878123</v>
      </c>
      <c r="G377" s="16" t="s">
        <v>5370</v>
      </c>
      <c r="H377" s="17">
        <v>42797</v>
      </c>
      <c r="I377" s="18">
        <v>1895000</v>
      </c>
      <c r="J377" s="19">
        <v>0</v>
      </c>
      <c r="L377" s="16" t="s">
        <v>38</v>
      </c>
      <c r="M377" s="16" t="s">
        <v>5360</v>
      </c>
      <c r="N377" s="16" t="s">
        <v>446</v>
      </c>
    </row>
    <row r="378" spans="1:14" ht="20.100000000000001" customHeight="1" x14ac:dyDescent="0.25">
      <c r="A378" s="15" t="s">
        <v>5357</v>
      </c>
      <c r="B378" s="16" t="s">
        <v>1161</v>
      </c>
      <c r="C378" s="15">
        <v>9100543</v>
      </c>
      <c r="D378" s="16" t="s">
        <v>807</v>
      </c>
      <c r="E378" s="15" t="s">
        <v>5371</v>
      </c>
      <c r="F378" s="21" t="str">
        <f>HYPERLINK("https://psearch.kitsapgov.com/webappa/index.html?parcelID=1878131&amp;Theme=Imagery","1878131")</f>
        <v>1878131</v>
      </c>
      <c r="G378" s="16" t="s">
        <v>5372</v>
      </c>
      <c r="H378" s="17">
        <v>42797</v>
      </c>
      <c r="I378" s="18">
        <v>1895000</v>
      </c>
      <c r="J378" s="19">
        <v>0</v>
      </c>
      <c r="L378" s="16" t="s">
        <v>38</v>
      </c>
      <c r="M378" s="16" t="s">
        <v>5360</v>
      </c>
      <c r="N378" s="16" t="s">
        <v>446</v>
      </c>
    </row>
    <row r="379" spans="1:14" ht="20.100000000000001" customHeight="1" x14ac:dyDescent="0.25">
      <c r="A379" s="15" t="s">
        <v>5357</v>
      </c>
      <c r="B379" s="16" t="s">
        <v>1161</v>
      </c>
      <c r="C379" s="15">
        <v>9100543</v>
      </c>
      <c r="D379" s="16" t="s">
        <v>807</v>
      </c>
      <c r="E379" s="15" t="s">
        <v>5373</v>
      </c>
      <c r="F379" s="21" t="str">
        <f>HYPERLINK("https://psearch.kitsapgov.com/webappa/index.html?parcelID=1878149&amp;Theme=Imagery","1878149")</f>
        <v>1878149</v>
      </c>
      <c r="G379" s="16" t="s">
        <v>5374</v>
      </c>
      <c r="H379" s="17">
        <v>42797</v>
      </c>
      <c r="I379" s="18">
        <v>1895000</v>
      </c>
      <c r="J379" s="19">
        <v>0</v>
      </c>
      <c r="L379" s="16" t="s">
        <v>38</v>
      </c>
      <c r="M379" s="16" t="s">
        <v>5360</v>
      </c>
      <c r="N379" s="16" t="s">
        <v>446</v>
      </c>
    </row>
    <row r="380" spans="1:14" ht="20.100000000000001" customHeight="1" x14ac:dyDescent="0.25">
      <c r="A380" s="15" t="s">
        <v>5357</v>
      </c>
      <c r="B380" s="16" t="s">
        <v>1161</v>
      </c>
      <c r="C380" s="15">
        <v>9100543</v>
      </c>
      <c r="D380" s="16" t="s">
        <v>807</v>
      </c>
      <c r="E380" s="15" t="s">
        <v>5375</v>
      </c>
      <c r="F380" s="21" t="str">
        <f>HYPERLINK("https://psearch.kitsapgov.com/webappa/index.html?parcelID=1878156&amp;Theme=Imagery","1878156")</f>
        <v>1878156</v>
      </c>
      <c r="G380" s="16" t="s">
        <v>5376</v>
      </c>
      <c r="H380" s="17">
        <v>42797</v>
      </c>
      <c r="I380" s="18">
        <v>1895000</v>
      </c>
      <c r="J380" s="19">
        <v>0</v>
      </c>
      <c r="L380" s="16" t="s">
        <v>38</v>
      </c>
      <c r="M380" s="16" t="s">
        <v>5360</v>
      </c>
      <c r="N380" s="16" t="s">
        <v>446</v>
      </c>
    </row>
    <row r="381" spans="1:14" ht="20.100000000000001" customHeight="1" x14ac:dyDescent="0.25">
      <c r="A381" s="15" t="s">
        <v>5357</v>
      </c>
      <c r="B381" s="16" t="s">
        <v>1161</v>
      </c>
      <c r="C381" s="15">
        <v>9100543</v>
      </c>
      <c r="D381" s="16" t="s">
        <v>807</v>
      </c>
      <c r="E381" s="15" t="s">
        <v>5377</v>
      </c>
      <c r="F381" s="21" t="str">
        <f>HYPERLINK("https://psearch.kitsapgov.com/webappa/index.html?parcelID=1878164&amp;Theme=Imagery","1878164")</f>
        <v>1878164</v>
      </c>
      <c r="G381" s="16" t="s">
        <v>5378</v>
      </c>
      <c r="H381" s="17">
        <v>42797</v>
      </c>
      <c r="I381" s="18">
        <v>1895000</v>
      </c>
      <c r="J381" s="19">
        <v>0</v>
      </c>
      <c r="L381" s="16" t="s">
        <v>38</v>
      </c>
      <c r="M381" s="16" t="s">
        <v>5360</v>
      </c>
      <c r="N381" s="16" t="s">
        <v>446</v>
      </c>
    </row>
    <row r="382" spans="1:14" ht="20.100000000000001" customHeight="1" x14ac:dyDescent="0.25">
      <c r="A382" s="15" t="s">
        <v>5357</v>
      </c>
      <c r="B382" s="16" t="s">
        <v>1161</v>
      </c>
      <c r="C382" s="15">
        <v>9100543</v>
      </c>
      <c r="D382" s="16" t="s">
        <v>807</v>
      </c>
      <c r="E382" s="15" t="s">
        <v>5379</v>
      </c>
      <c r="F382" s="21" t="str">
        <f>HYPERLINK("https://psearch.kitsapgov.com/webappa/index.html?parcelID=1878172&amp;Theme=Imagery","1878172")</f>
        <v>1878172</v>
      </c>
      <c r="G382" s="16" t="s">
        <v>5380</v>
      </c>
      <c r="H382" s="17">
        <v>42797</v>
      </c>
      <c r="I382" s="18">
        <v>1895000</v>
      </c>
      <c r="J382" s="19">
        <v>0</v>
      </c>
      <c r="L382" s="16" t="s">
        <v>38</v>
      </c>
      <c r="M382" s="16" t="s">
        <v>5360</v>
      </c>
      <c r="N382" s="16" t="s">
        <v>446</v>
      </c>
    </row>
    <row r="383" spans="1:14" ht="20.100000000000001" customHeight="1" x14ac:dyDescent="0.25">
      <c r="A383" s="15" t="s">
        <v>5357</v>
      </c>
      <c r="B383" s="16" t="s">
        <v>1161</v>
      </c>
      <c r="C383" s="15">
        <v>9100543</v>
      </c>
      <c r="D383" s="16" t="s">
        <v>807</v>
      </c>
      <c r="E383" s="15" t="s">
        <v>5381</v>
      </c>
      <c r="F383" s="21" t="str">
        <f>HYPERLINK("https://psearch.kitsapgov.com/webappa/index.html?parcelID=1878180&amp;Theme=Imagery","1878180")</f>
        <v>1878180</v>
      </c>
      <c r="G383" s="16" t="s">
        <v>5382</v>
      </c>
      <c r="H383" s="17">
        <v>42797</v>
      </c>
      <c r="I383" s="18">
        <v>1895000</v>
      </c>
      <c r="J383" s="19">
        <v>0</v>
      </c>
      <c r="L383" s="16" t="s">
        <v>38</v>
      </c>
      <c r="M383" s="16" t="s">
        <v>5360</v>
      </c>
      <c r="N383" s="16" t="s">
        <v>446</v>
      </c>
    </row>
    <row r="384" spans="1:14" ht="20.100000000000001" customHeight="1" x14ac:dyDescent="0.25">
      <c r="A384" s="15" t="s">
        <v>5357</v>
      </c>
      <c r="B384" s="16" t="s">
        <v>1161</v>
      </c>
      <c r="C384" s="15">
        <v>9100543</v>
      </c>
      <c r="D384" s="16" t="s">
        <v>807</v>
      </c>
      <c r="E384" s="15" t="s">
        <v>5383</v>
      </c>
      <c r="F384" s="21" t="str">
        <f>HYPERLINK("https://psearch.kitsapgov.com/webappa/index.html?parcelID=1878198&amp;Theme=Imagery","1878198")</f>
        <v>1878198</v>
      </c>
      <c r="G384" s="16" t="s">
        <v>5384</v>
      </c>
      <c r="H384" s="17">
        <v>42797</v>
      </c>
      <c r="I384" s="18">
        <v>1895000</v>
      </c>
      <c r="J384" s="19">
        <v>0</v>
      </c>
      <c r="L384" s="16" t="s">
        <v>38</v>
      </c>
      <c r="M384" s="16" t="s">
        <v>5360</v>
      </c>
      <c r="N384" s="16" t="s">
        <v>446</v>
      </c>
    </row>
    <row r="385" spans="1:14" ht="20.100000000000001" customHeight="1" x14ac:dyDescent="0.25">
      <c r="A385" s="15" t="s">
        <v>5357</v>
      </c>
      <c r="B385" s="16" t="s">
        <v>1161</v>
      </c>
      <c r="C385" s="15">
        <v>9100543</v>
      </c>
      <c r="D385" s="16" t="s">
        <v>807</v>
      </c>
      <c r="E385" s="15" t="s">
        <v>5385</v>
      </c>
      <c r="F385" s="21" t="str">
        <f>HYPERLINK("https://psearch.kitsapgov.com/webappa/index.html?parcelID=1878206&amp;Theme=Imagery","1878206")</f>
        <v>1878206</v>
      </c>
      <c r="G385" s="16" t="s">
        <v>5386</v>
      </c>
      <c r="H385" s="17">
        <v>42797</v>
      </c>
      <c r="I385" s="18">
        <v>1895000</v>
      </c>
      <c r="J385" s="19">
        <v>0</v>
      </c>
      <c r="L385" s="16" t="s">
        <v>38</v>
      </c>
      <c r="M385" s="16" t="s">
        <v>5360</v>
      </c>
      <c r="N385" s="16" t="s">
        <v>446</v>
      </c>
    </row>
    <row r="386" spans="1:14" ht="20.100000000000001" customHeight="1" x14ac:dyDescent="0.25">
      <c r="A386" s="15" t="s">
        <v>5357</v>
      </c>
      <c r="B386" s="16" t="s">
        <v>1161</v>
      </c>
      <c r="C386" s="15">
        <v>9100543</v>
      </c>
      <c r="D386" s="16" t="s">
        <v>807</v>
      </c>
      <c r="E386" s="15" t="s">
        <v>5387</v>
      </c>
      <c r="F386" s="21" t="str">
        <f>HYPERLINK("https://psearch.kitsapgov.com/webappa/index.html?parcelID=1878214&amp;Theme=Imagery","1878214")</f>
        <v>1878214</v>
      </c>
      <c r="G386" s="16" t="s">
        <v>5388</v>
      </c>
      <c r="H386" s="17">
        <v>42797</v>
      </c>
      <c r="I386" s="18">
        <v>1895000</v>
      </c>
      <c r="J386" s="19">
        <v>0</v>
      </c>
      <c r="L386" s="16" t="s">
        <v>38</v>
      </c>
      <c r="M386" s="16" t="s">
        <v>5360</v>
      </c>
      <c r="N386" s="16" t="s">
        <v>446</v>
      </c>
    </row>
    <row r="387" spans="1:14" ht="20.100000000000001" customHeight="1" x14ac:dyDescent="0.25">
      <c r="A387" s="15" t="s">
        <v>5357</v>
      </c>
      <c r="B387" s="16" t="s">
        <v>1161</v>
      </c>
      <c r="C387" s="15">
        <v>9100543</v>
      </c>
      <c r="D387" s="16" t="s">
        <v>807</v>
      </c>
      <c r="E387" s="15" t="s">
        <v>5389</v>
      </c>
      <c r="F387" s="21" t="str">
        <f>HYPERLINK("https://psearch.kitsapgov.com/webappa/index.html?parcelID=1878222&amp;Theme=Imagery","1878222")</f>
        <v>1878222</v>
      </c>
      <c r="G387" s="16" t="s">
        <v>5390</v>
      </c>
      <c r="H387" s="17">
        <v>42797</v>
      </c>
      <c r="I387" s="18">
        <v>1895000</v>
      </c>
      <c r="J387" s="19">
        <v>0</v>
      </c>
      <c r="L387" s="16" t="s">
        <v>38</v>
      </c>
      <c r="M387" s="16" t="s">
        <v>5360</v>
      </c>
      <c r="N387" s="16" t="s">
        <v>446</v>
      </c>
    </row>
    <row r="388" spans="1:14" ht="20.100000000000001" customHeight="1" x14ac:dyDescent="0.25">
      <c r="A388" s="15" t="s">
        <v>5357</v>
      </c>
      <c r="B388" s="16" t="s">
        <v>1161</v>
      </c>
      <c r="C388" s="15">
        <v>9100543</v>
      </c>
      <c r="D388" s="16" t="s">
        <v>807</v>
      </c>
      <c r="E388" s="15" t="s">
        <v>5391</v>
      </c>
      <c r="F388" s="21" t="str">
        <f>HYPERLINK("https://psearch.kitsapgov.com/webappa/index.html?parcelID=1878230&amp;Theme=Imagery","1878230")</f>
        <v>1878230</v>
      </c>
      <c r="G388" s="16" t="s">
        <v>5392</v>
      </c>
      <c r="H388" s="17">
        <v>42797</v>
      </c>
      <c r="I388" s="18">
        <v>1895000</v>
      </c>
      <c r="J388" s="19">
        <v>0</v>
      </c>
      <c r="L388" s="16" t="s">
        <v>38</v>
      </c>
      <c r="M388" s="16" t="s">
        <v>5360</v>
      </c>
      <c r="N388" s="16" t="s">
        <v>446</v>
      </c>
    </row>
    <row r="389" spans="1:14" ht="20.100000000000001" customHeight="1" x14ac:dyDescent="0.25">
      <c r="A389" s="15" t="s">
        <v>5357</v>
      </c>
      <c r="B389" s="16" t="s">
        <v>1161</v>
      </c>
      <c r="C389" s="15">
        <v>9100543</v>
      </c>
      <c r="D389" s="16" t="s">
        <v>807</v>
      </c>
      <c r="E389" s="15" t="s">
        <v>5393</v>
      </c>
      <c r="F389" s="21" t="str">
        <f>HYPERLINK("https://psearch.kitsapgov.com/webappa/index.html?parcelID=1878248&amp;Theme=Imagery","1878248")</f>
        <v>1878248</v>
      </c>
      <c r="G389" s="16" t="s">
        <v>5394</v>
      </c>
      <c r="H389" s="17">
        <v>42797</v>
      </c>
      <c r="I389" s="18">
        <v>1895000</v>
      </c>
      <c r="J389" s="19">
        <v>0</v>
      </c>
      <c r="L389" s="16" t="s">
        <v>38</v>
      </c>
      <c r="M389" s="16" t="s">
        <v>5360</v>
      </c>
      <c r="N389" s="16" t="s">
        <v>446</v>
      </c>
    </row>
    <row r="390" spans="1:14" ht="20.100000000000001" customHeight="1" x14ac:dyDescent="0.25">
      <c r="A390" s="15" t="s">
        <v>5357</v>
      </c>
      <c r="B390" s="16" t="s">
        <v>1161</v>
      </c>
      <c r="C390" s="15">
        <v>9100543</v>
      </c>
      <c r="D390" s="16" t="s">
        <v>807</v>
      </c>
      <c r="E390" s="15" t="s">
        <v>5395</v>
      </c>
      <c r="F390" s="21" t="str">
        <f>HYPERLINK("https://psearch.kitsapgov.com/webappa/index.html?parcelID=1878255&amp;Theme=Imagery","1878255")</f>
        <v>1878255</v>
      </c>
      <c r="G390" s="16" t="s">
        <v>5396</v>
      </c>
      <c r="H390" s="17">
        <v>42797</v>
      </c>
      <c r="I390" s="18">
        <v>1895000</v>
      </c>
      <c r="J390" s="19">
        <v>0</v>
      </c>
      <c r="L390" s="16" t="s">
        <v>38</v>
      </c>
      <c r="M390" s="16" t="s">
        <v>5360</v>
      </c>
      <c r="N390" s="16" t="s">
        <v>446</v>
      </c>
    </row>
    <row r="391" spans="1:14" ht="39.950000000000003" customHeight="1" x14ac:dyDescent="0.25">
      <c r="A391" s="15" t="s">
        <v>5397</v>
      </c>
      <c r="B391" s="16" t="s">
        <v>96</v>
      </c>
      <c r="C391" s="15">
        <v>8402305</v>
      </c>
      <c r="D391" s="16" t="s">
        <v>259</v>
      </c>
      <c r="E391" s="15" t="s">
        <v>5398</v>
      </c>
      <c r="F391" s="21" t="str">
        <f>HYPERLINK("https://psearch.kitsapgov.com/webappa/index.html?parcelID=1171495&amp;Theme=Imagery","1171495")</f>
        <v>1171495</v>
      </c>
      <c r="G391" s="16" t="s">
        <v>5399</v>
      </c>
      <c r="H391" s="17">
        <v>42810</v>
      </c>
      <c r="I391" s="18">
        <v>245000</v>
      </c>
      <c r="J391" s="19">
        <v>1.74</v>
      </c>
      <c r="K391" s="16" t="s">
        <v>154</v>
      </c>
      <c r="L391" s="16" t="s">
        <v>290</v>
      </c>
      <c r="M391" s="16" t="s">
        <v>5400</v>
      </c>
      <c r="N391" s="16" t="s">
        <v>5401</v>
      </c>
    </row>
    <row r="392" spans="1:14" ht="20.100000000000001" customHeight="1" x14ac:dyDescent="0.25">
      <c r="A392" s="15" t="s">
        <v>5397</v>
      </c>
      <c r="B392" s="16" t="s">
        <v>1283</v>
      </c>
      <c r="C392" s="15">
        <v>8402305</v>
      </c>
      <c r="D392" s="16" t="s">
        <v>259</v>
      </c>
      <c r="E392" s="15" t="s">
        <v>5402</v>
      </c>
      <c r="F392" s="21" t="str">
        <f>HYPERLINK("https://psearch.kitsapgov.com/webappa/index.html?parcelID=2617249&amp;Theme=Imagery","2617249")</f>
        <v>2617249</v>
      </c>
      <c r="G392" s="16" t="s">
        <v>5403</v>
      </c>
      <c r="H392" s="17">
        <v>42810</v>
      </c>
      <c r="I392" s="18">
        <v>245000</v>
      </c>
      <c r="J392" s="19">
        <v>0</v>
      </c>
      <c r="L392" s="16" t="s">
        <v>290</v>
      </c>
      <c r="M392" s="16" t="s">
        <v>5400</v>
      </c>
      <c r="N392" s="16" t="s">
        <v>5401</v>
      </c>
    </row>
    <row r="393" spans="1:14" ht="39.950000000000003" customHeight="1" x14ac:dyDescent="0.25">
      <c r="A393" s="15" t="s">
        <v>5404</v>
      </c>
      <c r="B393" s="16" t="s">
        <v>96</v>
      </c>
      <c r="C393" s="15">
        <v>8100501</v>
      </c>
      <c r="D393" s="16" t="s">
        <v>117</v>
      </c>
      <c r="E393" s="15" t="s">
        <v>5405</v>
      </c>
      <c r="F393" s="21" t="str">
        <f>HYPERLINK("https://psearch.kitsapgov.com/webappa/index.html?parcelID=1426782&amp;Theme=Imagery","1426782")</f>
        <v>1426782</v>
      </c>
      <c r="G393" s="16" t="s">
        <v>5406</v>
      </c>
      <c r="H393" s="17">
        <v>42822</v>
      </c>
      <c r="I393" s="18">
        <v>1000000</v>
      </c>
      <c r="J393" s="19">
        <v>0.28000000000000003</v>
      </c>
      <c r="K393" s="16" t="s">
        <v>120</v>
      </c>
      <c r="L393" s="16" t="s">
        <v>4645</v>
      </c>
      <c r="M393" s="16" t="s">
        <v>5407</v>
      </c>
      <c r="N393" s="16" t="s">
        <v>5408</v>
      </c>
    </row>
    <row r="394" spans="1:14" ht="20.100000000000001" customHeight="1" x14ac:dyDescent="0.25">
      <c r="A394" s="15" t="s">
        <v>5404</v>
      </c>
      <c r="B394" s="16" t="s">
        <v>33</v>
      </c>
      <c r="C394" s="15">
        <v>8100501</v>
      </c>
      <c r="D394" s="16" t="s">
        <v>117</v>
      </c>
      <c r="E394" s="15" t="s">
        <v>5409</v>
      </c>
      <c r="F394" s="21" t="str">
        <f>HYPERLINK("https://psearch.kitsapgov.com/webappa/index.html?parcelID=1426790&amp;Theme=Imagery","1426790")</f>
        <v>1426790</v>
      </c>
      <c r="G394" s="16" t="s">
        <v>5410</v>
      </c>
      <c r="H394" s="17">
        <v>42822</v>
      </c>
      <c r="I394" s="18">
        <v>1000000</v>
      </c>
      <c r="J394" s="19">
        <v>7.0000000000000007E-2</v>
      </c>
      <c r="K394" s="16" t="s">
        <v>120</v>
      </c>
      <c r="L394" s="16" t="s">
        <v>4645</v>
      </c>
      <c r="M394" s="16" t="s">
        <v>5407</v>
      </c>
      <c r="N394" s="16" t="s">
        <v>5408</v>
      </c>
    </row>
    <row r="395" spans="1:14" ht="20.100000000000001" customHeight="1" x14ac:dyDescent="0.25">
      <c r="A395" s="15" t="s">
        <v>5404</v>
      </c>
      <c r="B395" s="16" t="s">
        <v>57</v>
      </c>
      <c r="C395" s="15">
        <v>8100501</v>
      </c>
      <c r="D395" s="16" t="s">
        <v>117</v>
      </c>
      <c r="E395" s="15" t="s">
        <v>5411</v>
      </c>
      <c r="F395" s="21" t="str">
        <f>HYPERLINK("https://psearch.kitsapgov.com/webappa/index.html?parcelID=1426808&amp;Theme=Imagery","1426808")</f>
        <v>1426808</v>
      </c>
      <c r="G395" s="16" t="s">
        <v>5412</v>
      </c>
      <c r="H395" s="17">
        <v>42822</v>
      </c>
      <c r="I395" s="18">
        <v>1000000</v>
      </c>
      <c r="J395" s="19">
        <v>7.0000000000000007E-2</v>
      </c>
      <c r="K395" s="16" t="s">
        <v>120</v>
      </c>
      <c r="L395" s="16" t="s">
        <v>4645</v>
      </c>
      <c r="M395" s="16" t="s">
        <v>5407</v>
      </c>
      <c r="N395" s="16" t="s">
        <v>5408</v>
      </c>
    </row>
    <row r="396" spans="1:14" ht="39.950000000000003" customHeight="1" x14ac:dyDescent="0.25">
      <c r="A396" s="15" t="s">
        <v>5413</v>
      </c>
      <c r="B396" s="16" t="s">
        <v>96</v>
      </c>
      <c r="C396" s="15">
        <v>8401101</v>
      </c>
      <c r="D396" s="16" t="s">
        <v>185</v>
      </c>
      <c r="E396" s="15" t="s">
        <v>5414</v>
      </c>
      <c r="F396" s="21" t="str">
        <f>HYPERLINK("https://psearch.kitsapgov.com/webappa/index.html?parcelID=2166874&amp;Theme=Imagery","2166874")</f>
        <v>2166874</v>
      </c>
      <c r="G396" s="16" t="s">
        <v>4654</v>
      </c>
      <c r="H396" s="17">
        <v>42845</v>
      </c>
      <c r="I396" s="18">
        <v>9895000</v>
      </c>
      <c r="J396" s="19">
        <v>3.25</v>
      </c>
      <c r="K396" s="16" t="s">
        <v>188</v>
      </c>
      <c r="L396" s="16" t="s">
        <v>856</v>
      </c>
      <c r="M396" s="16" t="s">
        <v>5415</v>
      </c>
      <c r="N396" s="16" t="s">
        <v>5416</v>
      </c>
    </row>
    <row r="397" spans="1:14" ht="20.100000000000001" customHeight="1" x14ac:dyDescent="0.25">
      <c r="A397" s="15" t="s">
        <v>5413</v>
      </c>
      <c r="B397" s="16" t="s">
        <v>96</v>
      </c>
      <c r="C397" s="15">
        <v>8401101</v>
      </c>
      <c r="D397" s="16" t="s">
        <v>185</v>
      </c>
      <c r="E397" s="15" t="s">
        <v>5417</v>
      </c>
      <c r="F397" s="21" t="str">
        <f>HYPERLINK("https://psearch.kitsapgov.com/webappa/index.html?parcelID=2351872&amp;Theme=Imagery","2351872")</f>
        <v>2351872</v>
      </c>
      <c r="G397" s="16" t="s">
        <v>4660</v>
      </c>
      <c r="H397" s="17">
        <v>42845</v>
      </c>
      <c r="I397" s="18">
        <v>9895000</v>
      </c>
      <c r="J397" s="19">
        <v>0.08</v>
      </c>
      <c r="K397" s="16" t="s">
        <v>188</v>
      </c>
      <c r="L397" s="16" t="s">
        <v>856</v>
      </c>
      <c r="M397" s="16" t="s">
        <v>5415</v>
      </c>
      <c r="N397" s="16" t="s">
        <v>5416</v>
      </c>
    </row>
    <row r="398" spans="1:14" ht="39.950000000000003" customHeight="1" x14ac:dyDescent="0.25">
      <c r="A398" s="15" t="s">
        <v>5418</v>
      </c>
      <c r="B398" s="16" t="s">
        <v>66</v>
      </c>
      <c r="C398" s="15">
        <v>8401104</v>
      </c>
      <c r="D398" s="16" t="s">
        <v>144</v>
      </c>
      <c r="E398" s="15" t="s">
        <v>5419</v>
      </c>
      <c r="F398" s="21" t="str">
        <f>HYPERLINK("https://psearch.kitsapgov.com/webappa/index.html?parcelID=1633700&amp;Theme=Imagery","1633700")</f>
        <v>1633700</v>
      </c>
      <c r="G398" s="16" t="s">
        <v>5420</v>
      </c>
      <c r="H398" s="17">
        <v>42870</v>
      </c>
      <c r="I398" s="18">
        <v>200000</v>
      </c>
      <c r="J398" s="19">
        <v>0.15</v>
      </c>
      <c r="K398" s="16" t="s">
        <v>194</v>
      </c>
      <c r="L398" s="16" t="s">
        <v>4645</v>
      </c>
      <c r="M398" s="16" t="s">
        <v>5421</v>
      </c>
      <c r="N398" s="16" t="s">
        <v>5422</v>
      </c>
    </row>
    <row r="399" spans="1:14" ht="20.100000000000001" customHeight="1" x14ac:dyDescent="0.25">
      <c r="A399" s="15" t="s">
        <v>5418</v>
      </c>
      <c r="B399" s="16" t="s">
        <v>57</v>
      </c>
      <c r="C399" s="15">
        <v>8401104</v>
      </c>
      <c r="D399" s="16" t="s">
        <v>144</v>
      </c>
      <c r="E399" s="15" t="s">
        <v>5423</v>
      </c>
      <c r="F399" s="21" t="str">
        <f>HYPERLINK("https://psearch.kitsapgov.com/webappa/index.html?parcelID=1633718&amp;Theme=Imagery","1633718")</f>
        <v>1633718</v>
      </c>
      <c r="G399" s="16" t="s">
        <v>5424</v>
      </c>
      <c r="H399" s="17">
        <v>42870</v>
      </c>
      <c r="I399" s="18">
        <v>200000</v>
      </c>
      <c r="J399" s="19">
        <v>0.15</v>
      </c>
      <c r="K399" s="16" t="s">
        <v>194</v>
      </c>
      <c r="L399" s="16" t="s">
        <v>4645</v>
      </c>
      <c r="M399" s="16" t="s">
        <v>5421</v>
      </c>
      <c r="N399" s="16" t="s">
        <v>5422</v>
      </c>
    </row>
    <row r="400" spans="1:14" ht="39.950000000000003" customHeight="1" x14ac:dyDescent="0.25">
      <c r="A400" s="15" t="s">
        <v>5425</v>
      </c>
      <c r="B400" s="16" t="s">
        <v>49</v>
      </c>
      <c r="C400" s="15">
        <v>7400204</v>
      </c>
      <c r="D400" s="16" t="s">
        <v>5426</v>
      </c>
      <c r="E400" s="15" t="s">
        <v>5427</v>
      </c>
      <c r="F400" s="21" t="str">
        <f>HYPERLINK("https://psearch.kitsapgov.com/webappa/index.html?parcelID=1354661&amp;Theme=Imagery","1354661")</f>
        <v>1354661</v>
      </c>
      <c r="G400" s="16" t="s">
        <v>107</v>
      </c>
      <c r="H400" s="17">
        <v>42867</v>
      </c>
      <c r="I400" s="18">
        <v>200000</v>
      </c>
      <c r="J400" s="19">
        <v>3.33</v>
      </c>
      <c r="K400" s="16" t="s">
        <v>128</v>
      </c>
      <c r="L400" s="16" t="s">
        <v>290</v>
      </c>
      <c r="M400" s="16" t="s">
        <v>5428</v>
      </c>
      <c r="N400" s="16" t="s">
        <v>5429</v>
      </c>
    </row>
    <row r="401" spans="1:14" ht="20.100000000000001" customHeight="1" x14ac:dyDescent="0.25">
      <c r="A401" s="15" t="s">
        <v>5425</v>
      </c>
      <c r="B401" s="16" t="s">
        <v>1283</v>
      </c>
      <c r="C401" s="15">
        <v>9400204</v>
      </c>
      <c r="D401" s="16" t="s">
        <v>1948</v>
      </c>
      <c r="E401" s="15" t="s">
        <v>5430</v>
      </c>
      <c r="F401" s="21" t="str">
        <f>HYPERLINK("https://psearch.kitsapgov.com/webappa/index.html?parcelID=2617256&amp;Theme=Imagery","2617256")</f>
        <v>2617256</v>
      </c>
      <c r="G401" s="16" t="s">
        <v>5431</v>
      </c>
      <c r="H401" s="17">
        <v>42867</v>
      </c>
      <c r="I401" s="18">
        <v>200000</v>
      </c>
      <c r="J401" s="19">
        <v>0</v>
      </c>
      <c r="L401" s="16" t="s">
        <v>290</v>
      </c>
      <c r="M401" s="16" t="s">
        <v>5428</v>
      </c>
      <c r="N401" s="16" t="s">
        <v>5429</v>
      </c>
    </row>
    <row r="402" spans="1:14" ht="39.950000000000003" customHeight="1" x14ac:dyDescent="0.25">
      <c r="A402" s="15" t="s">
        <v>5432</v>
      </c>
      <c r="B402" s="16" t="s">
        <v>330</v>
      </c>
      <c r="C402" s="15">
        <v>8401101</v>
      </c>
      <c r="D402" s="16" t="s">
        <v>185</v>
      </c>
      <c r="E402" s="15" t="s">
        <v>5433</v>
      </c>
      <c r="F402" s="21" t="str">
        <f>HYPERLINK("https://psearch.kitsapgov.com/webappa/index.html?parcelID=1239003&amp;Theme=Imagery","1239003")</f>
        <v>1239003</v>
      </c>
      <c r="G402" s="16" t="s">
        <v>5434</v>
      </c>
      <c r="H402" s="17">
        <v>42880</v>
      </c>
      <c r="I402" s="18">
        <v>5700000</v>
      </c>
      <c r="J402" s="19">
        <v>0.25</v>
      </c>
      <c r="K402" s="16" t="s">
        <v>188</v>
      </c>
      <c r="L402" s="16" t="s">
        <v>4656</v>
      </c>
      <c r="M402" s="16" t="s">
        <v>5435</v>
      </c>
      <c r="N402" s="16" t="s">
        <v>5436</v>
      </c>
    </row>
    <row r="403" spans="1:14" ht="20.100000000000001" customHeight="1" x14ac:dyDescent="0.25">
      <c r="A403" s="15" t="s">
        <v>5432</v>
      </c>
      <c r="B403" s="16" t="s">
        <v>96</v>
      </c>
      <c r="C403" s="15">
        <v>8401101</v>
      </c>
      <c r="D403" s="16" t="s">
        <v>185</v>
      </c>
      <c r="E403" s="15" t="s">
        <v>5437</v>
      </c>
      <c r="F403" s="21" t="str">
        <f>HYPERLINK("https://psearch.kitsapgov.com/webappa/index.html?parcelID=1239011&amp;Theme=Imagery","1239011")</f>
        <v>1239011</v>
      </c>
      <c r="G403" s="16" t="s">
        <v>5438</v>
      </c>
      <c r="H403" s="17">
        <v>42880</v>
      </c>
      <c r="I403" s="18">
        <v>5700000</v>
      </c>
      <c r="J403" s="19">
        <v>1.95</v>
      </c>
      <c r="K403" s="16" t="s">
        <v>188</v>
      </c>
      <c r="L403" s="16" t="s">
        <v>4656</v>
      </c>
      <c r="M403" s="16" t="s">
        <v>5435</v>
      </c>
      <c r="N403" s="16" t="s">
        <v>5436</v>
      </c>
    </row>
    <row r="404" spans="1:14" ht="39.950000000000003" customHeight="1" x14ac:dyDescent="0.25">
      <c r="A404" s="15" t="s">
        <v>5439</v>
      </c>
      <c r="B404" s="16" t="s">
        <v>57</v>
      </c>
      <c r="C404" s="15">
        <v>9303627</v>
      </c>
      <c r="D404" s="16" t="s">
        <v>5440</v>
      </c>
      <c r="E404" s="15" t="s">
        <v>5441</v>
      </c>
      <c r="F404" s="21" t="str">
        <f>HYPERLINK("https://psearch.kitsapgov.com/webappa/index.html?parcelID=1539394&amp;Theme=Imagery","1539394")</f>
        <v>1539394</v>
      </c>
      <c r="G404" s="16" t="s">
        <v>5442</v>
      </c>
      <c r="H404" s="17">
        <v>42879</v>
      </c>
      <c r="I404" s="18">
        <v>800000</v>
      </c>
      <c r="J404" s="19">
        <v>0.16</v>
      </c>
      <c r="K404" s="16" t="s">
        <v>3285</v>
      </c>
      <c r="L404" s="16" t="s">
        <v>4656</v>
      </c>
      <c r="M404" s="16" t="s">
        <v>5443</v>
      </c>
      <c r="N404" s="16" t="s">
        <v>5444</v>
      </c>
    </row>
    <row r="405" spans="1:14" ht="20.100000000000001" customHeight="1" x14ac:dyDescent="0.25">
      <c r="A405" s="15" t="s">
        <v>5439</v>
      </c>
      <c r="B405" s="16" t="s">
        <v>347</v>
      </c>
      <c r="C405" s="15">
        <v>9303606</v>
      </c>
      <c r="D405" s="16" t="s">
        <v>5445</v>
      </c>
      <c r="E405" s="15" t="s">
        <v>5446</v>
      </c>
      <c r="F405" s="21" t="str">
        <f>HYPERLINK("https://psearch.kitsapgov.com/webappa/index.html?parcelID=1539436&amp;Theme=Imagery","1539436")</f>
        <v>1539436</v>
      </c>
      <c r="G405" s="16" t="s">
        <v>5447</v>
      </c>
      <c r="H405" s="17">
        <v>42879</v>
      </c>
      <c r="I405" s="18">
        <v>800000</v>
      </c>
      <c r="J405" s="19">
        <v>0.25</v>
      </c>
      <c r="K405" s="16" t="s">
        <v>3285</v>
      </c>
      <c r="L405" s="16" t="s">
        <v>4656</v>
      </c>
      <c r="M405" s="16" t="s">
        <v>5443</v>
      </c>
      <c r="N405" s="16" t="s">
        <v>5444</v>
      </c>
    </row>
    <row r="406" spans="1:14" ht="20.100000000000001" customHeight="1" x14ac:dyDescent="0.25">
      <c r="A406" s="15" t="s">
        <v>5439</v>
      </c>
      <c r="B406" s="16" t="s">
        <v>143</v>
      </c>
      <c r="C406" s="15">
        <v>9303627</v>
      </c>
      <c r="D406" s="16" t="s">
        <v>5440</v>
      </c>
      <c r="E406" s="15" t="s">
        <v>5448</v>
      </c>
      <c r="F406" s="21" t="str">
        <f>HYPERLINK("https://psearch.kitsapgov.com/webappa/index.html?parcelID=1539444&amp;Theme=Imagery","1539444")</f>
        <v>1539444</v>
      </c>
      <c r="G406" s="16" t="s">
        <v>5449</v>
      </c>
      <c r="H406" s="17">
        <v>42879</v>
      </c>
      <c r="I406" s="18">
        <v>800000</v>
      </c>
      <c r="J406" s="19">
        <v>0.45</v>
      </c>
      <c r="K406" s="16" t="s">
        <v>3285</v>
      </c>
      <c r="L406" s="16" t="s">
        <v>4656</v>
      </c>
      <c r="M406" s="16" t="s">
        <v>5443</v>
      </c>
      <c r="N406" s="16" t="s">
        <v>5444</v>
      </c>
    </row>
    <row r="407" spans="1:14" ht="20.100000000000001" customHeight="1" x14ac:dyDescent="0.25">
      <c r="A407" s="15" t="s">
        <v>5439</v>
      </c>
      <c r="B407" s="16" t="s">
        <v>57</v>
      </c>
      <c r="C407" s="15">
        <v>7303627</v>
      </c>
      <c r="D407" s="16" t="s">
        <v>5450</v>
      </c>
      <c r="E407" s="15" t="s">
        <v>5451</v>
      </c>
      <c r="F407" s="21" t="str">
        <f>HYPERLINK("https://psearch.kitsapgov.com/webappa/index.html?parcelID=1539477&amp;Theme=Imagery","1539477")</f>
        <v>1539477</v>
      </c>
      <c r="G407" s="16" t="s">
        <v>107</v>
      </c>
      <c r="H407" s="17">
        <v>42879</v>
      </c>
      <c r="I407" s="18">
        <v>800000</v>
      </c>
      <c r="J407" s="19">
        <v>0.67</v>
      </c>
      <c r="K407" s="16" t="s">
        <v>3285</v>
      </c>
      <c r="L407" s="16" t="s">
        <v>4656</v>
      </c>
      <c r="M407" s="16" t="s">
        <v>5443</v>
      </c>
      <c r="N407" s="16" t="s">
        <v>5444</v>
      </c>
    </row>
    <row r="408" spans="1:14" ht="39.950000000000003" customHeight="1" x14ac:dyDescent="0.25">
      <c r="A408" s="15" t="s">
        <v>5452</v>
      </c>
      <c r="B408" s="16" t="s">
        <v>393</v>
      </c>
      <c r="C408" s="15">
        <v>9100542</v>
      </c>
      <c r="D408" s="16" t="s">
        <v>454</v>
      </c>
      <c r="E408" s="15" t="s">
        <v>5453</v>
      </c>
      <c r="F408" s="21" t="str">
        <f>HYPERLINK("https://psearch.kitsapgov.com/webappa/index.html?parcelID=1712025&amp;Theme=Imagery","1712025")</f>
        <v>1712025</v>
      </c>
      <c r="G408" s="16" t="s">
        <v>5454</v>
      </c>
      <c r="H408" s="17">
        <v>42886</v>
      </c>
      <c r="I408" s="18">
        <v>6000000</v>
      </c>
      <c r="J408" s="19">
        <v>5.92</v>
      </c>
      <c r="K408" s="16" t="s">
        <v>1070</v>
      </c>
      <c r="L408" s="16" t="s">
        <v>4645</v>
      </c>
      <c r="M408" s="16" t="s">
        <v>1989</v>
      </c>
      <c r="N408" s="16" t="s">
        <v>5455</v>
      </c>
    </row>
    <row r="409" spans="1:14" ht="20.100000000000001" customHeight="1" x14ac:dyDescent="0.25">
      <c r="A409" s="15" t="s">
        <v>5452</v>
      </c>
      <c r="B409" s="16" t="s">
        <v>1816</v>
      </c>
      <c r="C409" s="15">
        <v>9100542</v>
      </c>
      <c r="D409" s="16" t="s">
        <v>454</v>
      </c>
      <c r="E409" s="15" t="s">
        <v>5456</v>
      </c>
      <c r="F409" s="21" t="str">
        <f>HYPERLINK("https://psearch.kitsapgov.com/webappa/index.html?parcelID=1712181&amp;Theme=Imagery","1712181")</f>
        <v>1712181</v>
      </c>
      <c r="G409" s="16" t="s">
        <v>5457</v>
      </c>
      <c r="H409" s="17">
        <v>42886</v>
      </c>
      <c r="I409" s="18">
        <v>6000000</v>
      </c>
      <c r="J409" s="19">
        <v>2.4700000000000002</v>
      </c>
      <c r="K409" s="16" t="s">
        <v>1070</v>
      </c>
      <c r="L409" s="16" t="s">
        <v>4645</v>
      </c>
      <c r="M409" s="16" t="s">
        <v>1989</v>
      </c>
      <c r="N409" s="16" t="s">
        <v>5455</v>
      </c>
    </row>
    <row r="410" spans="1:14" ht="39.950000000000003" customHeight="1" x14ac:dyDescent="0.25">
      <c r="A410" s="15" t="s">
        <v>5458</v>
      </c>
      <c r="B410" s="16" t="s">
        <v>57</v>
      </c>
      <c r="C410" s="15">
        <v>8401104</v>
      </c>
      <c r="D410" s="16" t="s">
        <v>144</v>
      </c>
      <c r="E410" s="15" t="s">
        <v>5459</v>
      </c>
      <c r="F410" s="21" t="str">
        <f>HYPERLINK("https://psearch.kitsapgov.com/webappa/index.html?parcelID=2564623&amp;Theme=Imagery","2564623")</f>
        <v>2564623</v>
      </c>
      <c r="G410" s="16" t="s">
        <v>5460</v>
      </c>
      <c r="H410" s="17">
        <v>42887</v>
      </c>
      <c r="I410" s="18">
        <v>148000</v>
      </c>
      <c r="J410" s="19">
        <v>0.18</v>
      </c>
      <c r="K410" s="16" t="s">
        <v>61</v>
      </c>
      <c r="L410" s="16" t="s">
        <v>4645</v>
      </c>
      <c r="M410" s="16" t="s">
        <v>5461</v>
      </c>
      <c r="N410" s="16" t="s">
        <v>5462</v>
      </c>
    </row>
    <row r="411" spans="1:14" ht="20.100000000000001" customHeight="1" x14ac:dyDescent="0.25">
      <c r="A411" s="15" t="s">
        <v>5458</v>
      </c>
      <c r="B411" s="16" t="s">
        <v>57</v>
      </c>
      <c r="C411" s="15">
        <v>8401104</v>
      </c>
      <c r="D411" s="16" t="s">
        <v>144</v>
      </c>
      <c r="E411" s="15" t="s">
        <v>5463</v>
      </c>
      <c r="F411" s="21" t="str">
        <f>HYPERLINK("https://psearch.kitsapgov.com/webappa/index.html?parcelID=2564631&amp;Theme=Imagery","2564631")</f>
        <v>2564631</v>
      </c>
      <c r="G411" s="16" t="s">
        <v>5464</v>
      </c>
      <c r="H411" s="17">
        <v>42887</v>
      </c>
      <c r="I411" s="18">
        <v>148000</v>
      </c>
      <c r="J411" s="19">
        <v>0.11</v>
      </c>
      <c r="K411" s="16" t="s">
        <v>61</v>
      </c>
      <c r="L411" s="16" t="s">
        <v>4645</v>
      </c>
      <c r="M411" s="16" t="s">
        <v>5461</v>
      </c>
      <c r="N411" s="16" t="s">
        <v>5462</v>
      </c>
    </row>
    <row r="412" spans="1:14" ht="39.950000000000003" customHeight="1" x14ac:dyDescent="0.25">
      <c r="A412" s="15" t="s">
        <v>5465</v>
      </c>
      <c r="B412" s="16" t="s">
        <v>57</v>
      </c>
      <c r="C412" s="15">
        <v>8401104</v>
      </c>
      <c r="D412" s="16" t="s">
        <v>144</v>
      </c>
      <c r="E412" s="15" t="s">
        <v>5466</v>
      </c>
      <c r="F412" s="21" t="str">
        <f>HYPERLINK("https://psearch.kitsapgov.com/webappa/index.html?parcelID=2564565&amp;Theme=Imagery","2564565")</f>
        <v>2564565</v>
      </c>
      <c r="G412" s="16" t="s">
        <v>5467</v>
      </c>
      <c r="H412" s="17">
        <v>42887</v>
      </c>
      <c r="I412" s="18">
        <v>503000</v>
      </c>
      <c r="J412" s="19">
        <v>0.16</v>
      </c>
      <c r="K412" s="16" t="s">
        <v>61</v>
      </c>
      <c r="L412" s="16" t="s">
        <v>4645</v>
      </c>
      <c r="M412" s="16" t="s">
        <v>5468</v>
      </c>
      <c r="N412" s="16" t="s">
        <v>5462</v>
      </c>
    </row>
    <row r="413" spans="1:14" ht="20.100000000000001" customHeight="1" x14ac:dyDescent="0.25">
      <c r="A413" s="15" t="s">
        <v>5465</v>
      </c>
      <c r="B413" s="16" t="s">
        <v>57</v>
      </c>
      <c r="C413" s="15">
        <v>8401104</v>
      </c>
      <c r="D413" s="16" t="s">
        <v>144</v>
      </c>
      <c r="E413" s="15" t="s">
        <v>5469</v>
      </c>
      <c r="F413" s="21" t="str">
        <f>HYPERLINK("https://psearch.kitsapgov.com/webappa/index.html?parcelID=2564573&amp;Theme=Imagery","2564573")</f>
        <v>2564573</v>
      </c>
      <c r="G413" s="16" t="s">
        <v>5470</v>
      </c>
      <c r="H413" s="17">
        <v>42887</v>
      </c>
      <c r="I413" s="18">
        <v>503000</v>
      </c>
      <c r="J413" s="19">
        <v>0.15</v>
      </c>
      <c r="K413" s="16" t="s">
        <v>61</v>
      </c>
      <c r="L413" s="16" t="s">
        <v>4645</v>
      </c>
      <c r="M413" s="16" t="s">
        <v>5468</v>
      </c>
      <c r="N413" s="16" t="s">
        <v>5462</v>
      </c>
    </row>
    <row r="414" spans="1:14" ht="20.100000000000001" customHeight="1" x14ac:dyDescent="0.25">
      <c r="A414" s="15" t="s">
        <v>5465</v>
      </c>
      <c r="B414" s="16" t="s">
        <v>57</v>
      </c>
      <c r="C414" s="15">
        <v>8401104</v>
      </c>
      <c r="D414" s="16" t="s">
        <v>144</v>
      </c>
      <c r="E414" s="15" t="s">
        <v>5471</v>
      </c>
      <c r="F414" s="21" t="str">
        <f>HYPERLINK("https://psearch.kitsapgov.com/webappa/index.html?parcelID=2564581&amp;Theme=Imagery","2564581")</f>
        <v>2564581</v>
      </c>
      <c r="G414" s="16" t="s">
        <v>5472</v>
      </c>
      <c r="H414" s="17">
        <v>42887</v>
      </c>
      <c r="I414" s="18">
        <v>503000</v>
      </c>
      <c r="J414" s="19">
        <v>0.3</v>
      </c>
      <c r="K414" s="16" t="s">
        <v>61</v>
      </c>
      <c r="L414" s="16" t="s">
        <v>4645</v>
      </c>
      <c r="M414" s="16" t="s">
        <v>5468</v>
      </c>
      <c r="N414" s="16" t="s">
        <v>5462</v>
      </c>
    </row>
    <row r="415" spans="1:14" ht="20.100000000000001" customHeight="1" x14ac:dyDescent="0.25">
      <c r="A415" s="15" t="s">
        <v>5465</v>
      </c>
      <c r="B415" s="16" t="s">
        <v>306</v>
      </c>
      <c r="C415" s="15">
        <v>8401104</v>
      </c>
      <c r="D415" s="16" t="s">
        <v>144</v>
      </c>
      <c r="E415" s="15" t="s">
        <v>5473</v>
      </c>
      <c r="F415" s="21" t="str">
        <f>HYPERLINK("https://psearch.kitsapgov.com/webappa/index.html?parcelID=2564599&amp;Theme=Imagery","2564599")</f>
        <v>2564599</v>
      </c>
      <c r="G415" s="16" t="s">
        <v>5474</v>
      </c>
      <c r="H415" s="17">
        <v>42887</v>
      </c>
      <c r="I415" s="18">
        <v>503000</v>
      </c>
      <c r="J415" s="19">
        <v>0.14000000000000001</v>
      </c>
      <c r="K415" s="16" t="s">
        <v>61</v>
      </c>
      <c r="L415" s="16" t="s">
        <v>4645</v>
      </c>
      <c r="M415" s="16" t="s">
        <v>5468</v>
      </c>
      <c r="N415" s="16" t="s">
        <v>5462</v>
      </c>
    </row>
    <row r="416" spans="1:14" ht="39.950000000000003" customHeight="1" x14ac:dyDescent="0.25">
      <c r="A416" s="15" t="s">
        <v>5475</v>
      </c>
      <c r="B416" s="16" t="s">
        <v>57</v>
      </c>
      <c r="C416" s="15">
        <v>8401104</v>
      </c>
      <c r="D416" s="16" t="s">
        <v>144</v>
      </c>
      <c r="E416" s="15" t="s">
        <v>5476</v>
      </c>
      <c r="F416" s="21" t="str">
        <f>HYPERLINK("https://psearch.kitsapgov.com/webappa/index.html?parcelID=1244177&amp;Theme=Imagery","1244177")</f>
        <v>1244177</v>
      </c>
      <c r="G416" s="16" t="s">
        <v>5477</v>
      </c>
      <c r="H416" s="17">
        <v>42888</v>
      </c>
      <c r="I416" s="18">
        <v>110000</v>
      </c>
      <c r="J416" s="19">
        <v>9.65</v>
      </c>
      <c r="K416" s="16" t="s">
        <v>61</v>
      </c>
      <c r="L416" s="16" t="s">
        <v>246</v>
      </c>
      <c r="M416" s="16" t="s">
        <v>5478</v>
      </c>
      <c r="N416" s="16" t="s">
        <v>5479</v>
      </c>
    </row>
    <row r="417" spans="1:14" ht="20.100000000000001" customHeight="1" x14ac:dyDescent="0.25">
      <c r="A417" s="15" t="s">
        <v>5475</v>
      </c>
      <c r="B417" s="16" t="s">
        <v>57</v>
      </c>
      <c r="C417" s="15">
        <v>8401104</v>
      </c>
      <c r="D417" s="16" t="s">
        <v>144</v>
      </c>
      <c r="E417" s="15" t="s">
        <v>5480</v>
      </c>
      <c r="F417" s="21" t="str">
        <f>HYPERLINK("https://psearch.kitsapgov.com/webappa/index.html?parcelID=1245539&amp;Theme=Imagery","1245539")</f>
        <v>1245539</v>
      </c>
      <c r="G417" s="16" t="s">
        <v>5481</v>
      </c>
      <c r="H417" s="17">
        <v>42888</v>
      </c>
      <c r="I417" s="18">
        <v>110000</v>
      </c>
      <c r="J417" s="19">
        <v>0.36</v>
      </c>
      <c r="K417" s="16" t="s">
        <v>61</v>
      </c>
      <c r="L417" s="16" t="s">
        <v>246</v>
      </c>
      <c r="M417" s="16" t="s">
        <v>5478</v>
      </c>
      <c r="N417" s="16" t="s">
        <v>5479</v>
      </c>
    </row>
    <row r="418" spans="1:14" ht="20.100000000000001" customHeight="1" x14ac:dyDescent="0.25">
      <c r="A418" s="15" t="s">
        <v>5475</v>
      </c>
      <c r="B418" s="16" t="s">
        <v>57</v>
      </c>
      <c r="C418" s="15">
        <v>8401104</v>
      </c>
      <c r="D418" s="16" t="s">
        <v>144</v>
      </c>
      <c r="E418" s="15" t="s">
        <v>5482</v>
      </c>
      <c r="F418" s="21" t="str">
        <f>HYPERLINK("https://psearch.kitsapgov.com/webappa/index.html?parcelID=1245547&amp;Theme=Imagery","1245547")</f>
        <v>1245547</v>
      </c>
      <c r="G418" s="16" t="s">
        <v>5481</v>
      </c>
      <c r="H418" s="17">
        <v>42888</v>
      </c>
      <c r="I418" s="18">
        <v>110000</v>
      </c>
      <c r="J418" s="19">
        <v>0.37</v>
      </c>
      <c r="K418" s="16" t="s">
        <v>61</v>
      </c>
      <c r="L418" s="16" t="s">
        <v>246</v>
      </c>
      <c r="M418" s="16" t="s">
        <v>5478</v>
      </c>
      <c r="N418" s="16" t="s">
        <v>5479</v>
      </c>
    </row>
    <row r="419" spans="1:14" ht="39.950000000000003" customHeight="1" x14ac:dyDescent="0.25">
      <c r="A419" s="15" t="s">
        <v>5483</v>
      </c>
      <c r="B419" s="16" t="s">
        <v>4739</v>
      </c>
      <c r="C419" s="15">
        <v>9100541</v>
      </c>
      <c r="D419" s="16" t="s">
        <v>215</v>
      </c>
      <c r="E419" s="15" t="s">
        <v>5484</v>
      </c>
      <c r="F419" s="21" t="str">
        <f>HYPERLINK("https://psearch.kitsapgov.com/webappa/index.html?parcelID=2273134&amp;Theme=Imagery","2273134")</f>
        <v>2273134</v>
      </c>
      <c r="G419" s="16" t="s">
        <v>5485</v>
      </c>
      <c r="H419" s="17">
        <v>42912</v>
      </c>
      <c r="I419" s="18">
        <v>815000</v>
      </c>
      <c r="J419" s="19">
        <v>0.24</v>
      </c>
      <c r="L419" s="16" t="s">
        <v>4645</v>
      </c>
      <c r="M419" s="16" t="s">
        <v>5486</v>
      </c>
      <c r="N419" s="16" t="s">
        <v>5487</v>
      </c>
    </row>
    <row r="420" spans="1:14" ht="20.100000000000001" customHeight="1" x14ac:dyDescent="0.25">
      <c r="A420" s="15" t="s">
        <v>5483</v>
      </c>
      <c r="B420" s="16" t="s">
        <v>1161</v>
      </c>
      <c r="C420" s="15">
        <v>8100502</v>
      </c>
      <c r="D420" s="16" t="s">
        <v>67</v>
      </c>
      <c r="E420" s="15" t="s">
        <v>5488</v>
      </c>
      <c r="F420" s="21" t="str">
        <f>HYPERLINK("https://psearch.kitsapgov.com/webappa/index.html?parcelID=2273142&amp;Theme=Imagery","2273142")</f>
        <v>2273142</v>
      </c>
      <c r="G420" s="16" t="s">
        <v>4401</v>
      </c>
      <c r="H420" s="17">
        <v>42912</v>
      </c>
      <c r="I420" s="18">
        <v>815000</v>
      </c>
      <c r="J420" s="19">
        <v>0</v>
      </c>
      <c r="L420" s="16" t="s">
        <v>4645</v>
      </c>
      <c r="M420" s="16" t="s">
        <v>5486</v>
      </c>
      <c r="N420" s="16" t="s">
        <v>5487</v>
      </c>
    </row>
    <row r="421" spans="1:14" ht="20.100000000000001" customHeight="1" x14ac:dyDescent="0.25">
      <c r="A421" s="15" t="s">
        <v>5483</v>
      </c>
      <c r="B421" s="16" t="s">
        <v>1161</v>
      </c>
      <c r="C421" s="15">
        <v>8100502</v>
      </c>
      <c r="D421" s="16" t="s">
        <v>67</v>
      </c>
      <c r="E421" s="15" t="s">
        <v>5489</v>
      </c>
      <c r="F421" s="21" t="str">
        <f>HYPERLINK("https://psearch.kitsapgov.com/webappa/index.html?parcelID=2273159&amp;Theme=Imagery","2273159")</f>
        <v>2273159</v>
      </c>
      <c r="G421" s="16" t="s">
        <v>1433</v>
      </c>
      <c r="H421" s="17">
        <v>42912</v>
      </c>
      <c r="I421" s="18">
        <v>815000</v>
      </c>
      <c r="J421" s="19">
        <v>0</v>
      </c>
      <c r="L421" s="16" t="s">
        <v>4645</v>
      </c>
      <c r="M421" s="16" t="s">
        <v>5486</v>
      </c>
      <c r="N421" s="16" t="s">
        <v>5487</v>
      </c>
    </row>
    <row r="422" spans="1:14" ht="20.100000000000001" customHeight="1" x14ac:dyDescent="0.25">
      <c r="A422" s="15" t="s">
        <v>5483</v>
      </c>
      <c r="B422" s="16" t="s">
        <v>1161</v>
      </c>
      <c r="C422" s="15">
        <v>8100502</v>
      </c>
      <c r="D422" s="16" t="s">
        <v>67</v>
      </c>
      <c r="E422" s="15" t="s">
        <v>5490</v>
      </c>
      <c r="F422" s="21" t="str">
        <f>HYPERLINK("https://psearch.kitsapgov.com/webappa/index.html?parcelID=2273167&amp;Theme=Imagery","2273167")</f>
        <v>2273167</v>
      </c>
      <c r="G422" s="16" t="s">
        <v>5491</v>
      </c>
      <c r="H422" s="17">
        <v>42912</v>
      </c>
      <c r="I422" s="18">
        <v>815000</v>
      </c>
      <c r="J422" s="19">
        <v>0</v>
      </c>
      <c r="L422" s="16" t="s">
        <v>4645</v>
      </c>
      <c r="M422" s="16" t="s">
        <v>5486</v>
      </c>
      <c r="N422" s="16" t="s">
        <v>5487</v>
      </c>
    </row>
    <row r="423" spans="1:14" ht="20.100000000000001" customHeight="1" x14ac:dyDescent="0.25">
      <c r="A423" s="15" t="s">
        <v>5483</v>
      </c>
      <c r="B423" s="16" t="s">
        <v>1161</v>
      </c>
      <c r="C423" s="15">
        <v>8100502</v>
      </c>
      <c r="D423" s="16" t="s">
        <v>67</v>
      </c>
      <c r="E423" s="15" t="s">
        <v>5492</v>
      </c>
      <c r="F423" s="21" t="str">
        <f>HYPERLINK("https://psearch.kitsapgov.com/webappa/index.html?parcelID=2273175&amp;Theme=Imagery","2273175")</f>
        <v>2273175</v>
      </c>
      <c r="G423" s="16" t="s">
        <v>5493</v>
      </c>
      <c r="H423" s="17">
        <v>42912</v>
      </c>
      <c r="I423" s="18">
        <v>815000</v>
      </c>
      <c r="J423" s="19">
        <v>0</v>
      </c>
      <c r="L423" s="16" t="s">
        <v>4645</v>
      </c>
      <c r="M423" s="16" t="s">
        <v>5486</v>
      </c>
      <c r="N423" s="16" t="s">
        <v>5487</v>
      </c>
    </row>
    <row r="424" spans="1:14" ht="20.100000000000001" customHeight="1" x14ac:dyDescent="0.25">
      <c r="A424" s="15" t="s">
        <v>5483</v>
      </c>
      <c r="B424" s="16" t="s">
        <v>1161</v>
      </c>
      <c r="C424" s="15">
        <v>8100502</v>
      </c>
      <c r="D424" s="16" t="s">
        <v>67</v>
      </c>
      <c r="E424" s="15" t="s">
        <v>5494</v>
      </c>
      <c r="F424" s="21" t="str">
        <f>HYPERLINK("https://psearch.kitsapgov.com/webappa/index.html?parcelID=2273183&amp;Theme=Imagery","2273183")</f>
        <v>2273183</v>
      </c>
      <c r="G424" s="16" t="s">
        <v>5495</v>
      </c>
      <c r="H424" s="17">
        <v>42912</v>
      </c>
      <c r="I424" s="18">
        <v>815000</v>
      </c>
      <c r="J424" s="19">
        <v>0</v>
      </c>
      <c r="L424" s="16" t="s">
        <v>4645</v>
      </c>
      <c r="M424" s="16" t="s">
        <v>5486</v>
      </c>
      <c r="N424" s="16" t="s">
        <v>5487</v>
      </c>
    </row>
    <row r="425" spans="1:14" ht="39.950000000000003" customHeight="1" x14ac:dyDescent="0.25">
      <c r="A425" s="15" t="s">
        <v>5496</v>
      </c>
      <c r="B425" s="16" t="s">
        <v>89</v>
      </c>
      <c r="C425" s="15">
        <v>8402308</v>
      </c>
      <c r="D425" s="16" t="s">
        <v>75</v>
      </c>
      <c r="E425" s="15" t="s">
        <v>5497</v>
      </c>
      <c r="F425" s="21" t="str">
        <f>HYPERLINK("https://psearch.kitsapgov.com/webappa/index.html?parcelID=1167568&amp;Theme=Imagery","1167568")</f>
        <v>1167568</v>
      </c>
      <c r="G425" s="16" t="s">
        <v>5498</v>
      </c>
      <c r="H425" s="17">
        <v>42929</v>
      </c>
      <c r="I425" s="18">
        <v>107500</v>
      </c>
      <c r="J425" s="19">
        <v>0.28999999999999998</v>
      </c>
      <c r="K425" s="16" t="s">
        <v>672</v>
      </c>
      <c r="L425" s="16" t="s">
        <v>20</v>
      </c>
      <c r="M425" s="16" t="s">
        <v>5499</v>
      </c>
      <c r="N425" s="16" t="s">
        <v>3021</v>
      </c>
    </row>
    <row r="426" spans="1:14" ht="20.100000000000001" customHeight="1" x14ac:dyDescent="0.25">
      <c r="A426" s="15" t="s">
        <v>5496</v>
      </c>
      <c r="B426" s="16" t="s">
        <v>143</v>
      </c>
      <c r="C426" s="15">
        <v>8402308</v>
      </c>
      <c r="D426" s="16" t="s">
        <v>75</v>
      </c>
      <c r="E426" s="15" t="s">
        <v>5500</v>
      </c>
      <c r="F426" s="21" t="str">
        <f>HYPERLINK("https://psearch.kitsapgov.com/webappa/index.html?parcelID=1167584&amp;Theme=Imagery","1167584")</f>
        <v>1167584</v>
      </c>
      <c r="G426" s="16" t="s">
        <v>5501</v>
      </c>
      <c r="H426" s="17">
        <v>42929</v>
      </c>
      <c r="I426" s="18">
        <v>107500</v>
      </c>
      <c r="J426" s="19">
        <v>0.14000000000000001</v>
      </c>
      <c r="K426" s="16" t="s">
        <v>672</v>
      </c>
      <c r="L426" s="16" t="s">
        <v>20</v>
      </c>
      <c r="M426" s="16" t="s">
        <v>5499</v>
      </c>
      <c r="N426" s="16" t="s">
        <v>3021</v>
      </c>
    </row>
    <row r="427" spans="1:14" ht="20.100000000000001" customHeight="1" x14ac:dyDescent="0.25">
      <c r="A427" s="15" t="s">
        <v>5496</v>
      </c>
      <c r="B427" s="16" t="s">
        <v>143</v>
      </c>
      <c r="C427" s="15">
        <v>8402308</v>
      </c>
      <c r="D427" s="16" t="s">
        <v>75</v>
      </c>
      <c r="E427" s="15" t="s">
        <v>5502</v>
      </c>
      <c r="F427" s="21" t="str">
        <f>HYPERLINK("https://psearch.kitsapgov.com/webappa/index.html?parcelID=1167659&amp;Theme=Imagery","1167659")</f>
        <v>1167659</v>
      </c>
      <c r="G427" s="16" t="s">
        <v>5503</v>
      </c>
      <c r="H427" s="17">
        <v>42929</v>
      </c>
      <c r="I427" s="18">
        <v>107500</v>
      </c>
      <c r="J427" s="19">
        <v>0.23</v>
      </c>
      <c r="K427" s="16" t="s">
        <v>672</v>
      </c>
      <c r="L427" s="16" t="s">
        <v>20</v>
      </c>
      <c r="M427" s="16" t="s">
        <v>5499</v>
      </c>
      <c r="N427" s="16" t="s">
        <v>3021</v>
      </c>
    </row>
    <row r="428" spans="1:14" ht="39.950000000000003" customHeight="1" x14ac:dyDescent="0.25">
      <c r="A428" s="15" t="s">
        <v>5504</v>
      </c>
      <c r="B428" s="16" t="s">
        <v>89</v>
      </c>
      <c r="C428" s="15">
        <v>8100506</v>
      </c>
      <c r="D428" s="16" t="s">
        <v>25</v>
      </c>
      <c r="E428" s="15" t="s">
        <v>5505</v>
      </c>
      <c r="F428" s="21" t="str">
        <f>HYPERLINK("https://psearch.kitsapgov.com/webappa/index.html?parcelID=1476191&amp;Theme=Imagery","1476191")</f>
        <v>1476191</v>
      </c>
      <c r="G428" s="16" t="s">
        <v>5506</v>
      </c>
      <c r="H428" s="17">
        <v>42928</v>
      </c>
      <c r="I428" s="18">
        <v>415000</v>
      </c>
      <c r="J428" s="19">
        <v>0.04</v>
      </c>
      <c r="K428" s="16" t="s">
        <v>839</v>
      </c>
      <c r="L428" s="16" t="s">
        <v>4645</v>
      </c>
      <c r="M428" s="16" t="s">
        <v>5507</v>
      </c>
      <c r="N428" s="16" t="s">
        <v>5508</v>
      </c>
    </row>
    <row r="429" spans="1:14" ht="20.100000000000001" customHeight="1" x14ac:dyDescent="0.25">
      <c r="A429" s="15" t="s">
        <v>5504</v>
      </c>
      <c r="B429" s="16" t="s">
        <v>57</v>
      </c>
      <c r="C429" s="15">
        <v>8100506</v>
      </c>
      <c r="D429" s="16" t="s">
        <v>25</v>
      </c>
      <c r="E429" s="15" t="s">
        <v>5509</v>
      </c>
      <c r="F429" s="21" t="str">
        <f>HYPERLINK("https://psearch.kitsapgov.com/webappa/index.html?parcelID=2169928&amp;Theme=Imagery","2169928")</f>
        <v>2169928</v>
      </c>
      <c r="G429" s="16" t="s">
        <v>5510</v>
      </c>
      <c r="H429" s="17">
        <v>42928</v>
      </c>
      <c r="I429" s="18">
        <v>415000</v>
      </c>
      <c r="J429" s="19">
        <v>0.08</v>
      </c>
      <c r="K429" s="16" t="s">
        <v>839</v>
      </c>
      <c r="L429" s="16" t="s">
        <v>4645</v>
      </c>
      <c r="M429" s="16" t="s">
        <v>5507</v>
      </c>
      <c r="N429" s="16" t="s">
        <v>5508</v>
      </c>
    </row>
    <row r="430" spans="1:14" ht="20.100000000000001" customHeight="1" x14ac:dyDescent="0.25">
      <c r="A430" s="15" t="s">
        <v>5504</v>
      </c>
      <c r="B430" s="16" t="s">
        <v>89</v>
      </c>
      <c r="C430" s="15">
        <v>8100506</v>
      </c>
      <c r="D430" s="16" t="s">
        <v>25</v>
      </c>
      <c r="E430" s="15" t="s">
        <v>5511</v>
      </c>
      <c r="F430" s="21" t="str">
        <f>HYPERLINK("https://psearch.kitsapgov.com/webappa/index.html?parcelID=2169936&amp;Theme=Imagery","2169936")</f>
        <v>2169936</v>
      </c>
      <c r="G430" s="16" t="s">
        <v>5512</v>
      </c>
      <c r="H430" s="17">
        <v>42928</v>
      </c>
      <c r="I430" s="18">
        <v>415000</v>
      </c>
      <c r="J430" s="19">
        <v>0.06</v>
      </c>
      <c r="K430" s="16" t="s">
        <v>839</v>
      </c>
      <c r="L430" s="16" t="s">
        <v>4645</v>
      </c>
      <c r="M430" s="16" t="s">
        <v>5507</v>
      </c>
      <c r="N430" s="16" t="s">
        <v>5508</v>
      </c>
    </row>
    <row r="431" spans="1:14" ht="39.950000000000003" customHeight="1" x14ac:dyDescent="0.25">
      <c r="A431" s="15" t="s">
        <v>5513</v>
      </c>
      <c r="B431" s="16" t="s">
        <v>704</v>
      </c>
      <c r="C431" s="15">
        <v>9401591</v>
      </c>
      <c r="D431" s="16" t="s">
        <v>1960</v>
      </c>
      <c r="E431" s="15" t="s">
        <v>5514</v>
      </c>
      <c r="F431" s="21" t="str">
        <f>HYPERLINK("https://psearch.kitsapgov.com/webappa/index.html?parcelID=1278241&amp;Theme=Imagery","1278241")</f>
        <v>1278241</v>
      </c>
      <c r="G431" s="16" t="s">
        <v>5515</v>
      </c>
      <c r="H431" s="17">
        <v>42949</v>
      </c>
      <c r="I431" s="18">
        <v>8000000</v>
      </c>
      <c r="J431" s="19">
        <v>16.260000000000002</v>
      </c>
      <c r="K431" s="16" t="s">
        <v>708</v>
      </c>
      <c r="L431" s="16" t="s">
        <v>4645</v>
      </c>
      <c r="M431" s="16" t="s">
        <v>5516</v>
      </c>
      <c r="N431" s="16" t="s">
        <v>5517</v>
      </c>
    </row>
    <row r="432" spans="1:14" ht="20.100000000000001" customHeight="1" x14ac:dyDescent="0.25">
      <c r="A432" s="15" t="s">
        <v>5513</v>
      </c>
      <c r="B432" s="16" t="s">
        <v>704</v>
      </c>
      <c r="C432" s="15">
        <v>9401591</v>
      </c>
      <c r="D432" s="16" t="s">
        <v>1960</v>
      </c>
      <c r="E432" s="15" t="s">
        <v>5518</v>
      </c>
      <c r="F432" s="21" t="str">
        <f>HYPERLINK("https://psearch.kitsapgov.com/webappa/index.html?parcelID=1278969&amp;Theme=Imagery","1278969")</f>
        <v>1278969</v>
      </c>
      <c r="G432" s="16" t="s">
        <v>5519</v>
      </c>
      <c r="H432" s="17">
        <v>42949</v>
      </c>
      <c r="I432" s="18">
        <v>8000000</v>
      </c>
      <c r="J432" s="19">
        <v>10.27</v>
      </c>
      <c r="K432" s="16" t="s">
        <v>708</v>
      </c>
      <c r="L432" s="16" t="s">
        <v>4645</v>
      </c>
      <c r="M432" s="16" t="s">
        <v>5516</v>
      </c>
      <c r="N432" s="16" t="s">
        <v>5517</v>
      </c>
    </row>
    <row r="433" spans="1:14" ht="39.950000000000003" customHeight="1" x14ac:dyDescent="0.25">
      <c r="A433" s="15" t="s">
        <v>5520</v>
      </c>
      <c r="B433" s="16" t="s">
        <v>330</v>
      </c>
      <c r="C433" s="15">
        <v>8400201</v>
      </c>
      <c r="D433" s="16" t="s">
        <v>941</v>
      </c>
      <c r="E433" s="15" t="s">
        <v>5521</v>
      </c>
      <c r="F433" s="21" t="str">
        <f>HYPERLINK("https://psearch.kitsapgov.com/webappa/index.html?parcelID=1550136&amp;Theme=Imagery","1550136")</f>
        <v>1550136</v>
      </c>
      <c r="G433" s="16" t="s">
        <v>5522</v>
      </c>
      <c r="H433" s="17">
        <v>42970</v>
      </c>
      <c r="I433" s="18">
        <v>3086878</v>
      </c>
      <c r="J433" s="19">
        <v>7.0000000000000007E-2</v>
      </c>
      <c r="K433" s="16" t="s">
        <v>944</v>
      </c>
      <c r="L433" s="16" t="s">
        <v>4645</v>
      </c>
      <c r="M433" s="16" t="s">
        <v>5523</v>
      </c>
      <c r="N433" s="16" t="s">
        <v>5524</v>
      </c>
    </row>
    <row r="434" spans="1:14" ht="20.100000000000001" customHeight="1" x14ac:dyDescent="0.25">
      <c r="A434" s="15" t="s">
        <v>5520</v>
      </c>
      <c r="B434" s="16" t="s">
        <v>96</v>
      </c>
      <c r="C434" s="15">
        <v>8400201</v>
      </c>
      <c r="D434" s="16" t="s">
        <v>941</v>
      </c>
      <c r="E434" s="15" t="s">
        <v>5525</v>
      </c>
      <c r="F434" s="21" t="str">
        <f>HYPERLINK("https://psearch.kitsapgov.com/webappa/index.html?parcelID=1550144&amp;Theme=Imagery","1550144")</f>
        <v>1550144</v>
      </c>
      <c r="G434" s="16" t="s">
        <v>5526</v>
      </c>
      <c r="H434" s="17">
        <v>42970</v>
      </c>
      <c r="I434" s="18">
        <v>3086878</v>
      </c>
      <c r="J434" s="19">
        <v>0.26</v>
      </c>
      <c r="K434" s="16" t="s">
        <v>944</v>
      </c>
      <c r="L434" s="16" t="s">
        <v>4645</v>
      </c>
      <c r="M434" s="16" t="s">
        <v>5523</v>
      </c>
      <c r="N434" s="16" t="s">
        <v>5524</v>
      </c>
    </row>
    <row r="435" spans="1:14" ht="20.100000000000001" customHeight="1" x14ac:dyDescent="0.25">
      <c r="A435" s="15" t="s">
        <v>5520</v>
      </c>
      <c r="B435" s="16" t="s">
        <v>89</v>
      </c>
      <c r="C435" s="15">
        <v>8400201</v>
      </c>
      <c r="D435" s="16" t="s">
        <v>941</v>
      </c>
      <c r="E435" s="15" t="s">
        <v>5527</v>
      </c>
      <c r="F435" s="21" t="str">
        <f>HYPERLINK("https://psearch.kitsapgov.com/webappa/index.html?parcelID=1550656&amp;Theme=Imagery","1550656")</f>
        <v>1550656</v>
      </c>
      <c r="G435" s="16" t="s">
        <v>5528</v>
      </c>
      <c r="H435" s="17">
        <v>42970</v>
      </c>
      <c r="I435" s="18">
        <v>3086878</v>
      </c>
      <c r="J435" s="19">
        <v>0.41</v>
      </c>
      <c r="K435" s="16" t="s">
        <v>944</v>
      </c>
      <c r="L435" s="16" t="s">
        <v>4645</v>
      </c>
      <c r="M435" s="16" t="s">
        <v>5523</v>
      </c>
      <c r="N435" s="16" t="s">
        <v>5524</v>
      </c>
    </row>
    <row r="436" spans="1:14" ht="20.100000000000001" customHeight="1" x14ac:dyDescent="0.25">
      <c r="A436" s="15" t="s">
        <v>5520</v>
      </c>
      <c r="B436" s="16" t="s">
        <v>89</v>
      </c>
      <c r="C436" s="15">
        <v>8400201</v>
      </c>
      <c r="D436" s="16" t="s">
        <v>941</v>
      </c>
      <c r="E436" s="15" t="s">
        <v>5529</v>
      </c>
      <c r="F436" s="21" t="str">
        <f>HYPERLINK("https://psearch.kitsapgov.com/webappa/index.html?parcelID=1550664&amp;Theme=Imagery","1550664")</f>
        <v>1550664</v>
      </c>
      <c r="G436" s="16" t="s">
        <v>5530</v>
      </c>
      <c r="H436" s="17">
        <v>42970</v>
      </c>
      <c r="I436" s="18">
        <v>3086878</v>
      </c>
      <c r="J436" s="19">
        <v>0.31</v>
      </c>
      <c r="K436" s="16" t="s">
        <v>944</v>
      </c>
      <c r="L436" s="16" t="s">
        <v>4645</v>
      </c>
      <c r="M436" s="16" t="s">
        <v>5523</v>
      </c>
      <c r="N436" s="16" t="s">
        <v>5524</v>
      </c>
    </row>
    <row r="437" spans="1:14" ht="39.950000000000003" customHeight="1" x14ac:dyDescent="0.25">
      <c r="A437" s="15" t="s">
        <v>5531</v>
      </c>
      <c r="B437" s="16" t="s">
        <v>89</v>
      </c>
      <c r="C437" s="15">
        <v>8400201</v>
      </c>
      <c r="D437" s="16" t="s">
        <v>941</v>
      </c>
      <c r="E437" s="15" t="s">
        <v>5532</v>
      </c>
      <c r="F437" s="21" t="str">
        <f>HYPERLINK("https://psearch.kitsapgov.com/webappa/index.html?parcelID=1343029&amp;Theme=Imagery","1343029")</f>
        <v>1343029</v>
      </c>
      <c r="G437" s="16" t="s">
        <v>5533</v>
      </c>
      <c r="H437" s="17">
        <v>42970</v>
      </c>
      <c r="I437" s="18">
        <v>2113122</v>
      </c>
      <c r="J437" s="19">
        <v>0.16</v>
      </c>
      <c r="K437" s="16" t="s">
        <v>944</v>
      </c>
      <c r="L437" s="16" t="s">
        <v>4645</v>
      </c>
      <c r="M437" s="16" t="s">
        <v>5523</v>
      </c>
      <c r="N437" s="16" t="s">
        <v>3097</v>
      </c>
    </row>
    <row r="438" spans="1:14" ht="20.100000000000001" customHeight="1" x14ac:dyDescent="0.25">
      <c r="A438" s="15" t="s">
        <v>5531</v>
      </c>
      <c r="B438" s="16" t="s">
        <v>89</v>
      </c>
      <c r="C438" s="15">
        <v>8400201</v>
      </c>
      <c r="D438" s="16" t="s">
        <v>941</v>
      </c>
      <c r="E438" s="15" t="s">
        <v>5534</v>
      </c>
      <c r="F438" s="21" t="str">
        <f>HYPERLINK("https://psearch.kitsapgov.com/webappa/index.html?parcelID=1550086&amp;Theme=Imagery","1550086")</f>
        <v>1550086</v>
      </c>
      <c r="G438" s="16" t="s">
        <v>5535</v>
      </c>
      <c r="H438" s="17">
        <v>42970</v>
      </c>
      <c r="I438" s="18">
        <v>2113122</v>
      </c>
      <c r="J438" s="19">
        <v>0.14000000000000001</v>
      </c>
      <c r="K438" s="16" t="s">
        <v>944</v>
      </c>
      <c r="L438" s="16" t="s">
        <v>4645</v>
      </c>
      <c r="M438" s="16" t="s">
        <v>5523</v>
      </c>
      <c r="N438" s="16" t="s">
        <v>3097</v>
      </c>
    </row>
    <row r="439" spans="1:14" ht="39.950000000000003" customHeight="1" x14ac:dyDescent="0.25">
      <c r="A439" s="15" t="s">
        <v>5536</v>
      </c>
      <c r="B439" s="16" t="s">
        <v>33</v>
      </c>
      <c r="C439" s="15">
        <v>8400201</v>
      </c>
      <c r="D439" s="16" t="s">
        <v>941</v>
      </c>
      <c r="E439" s="15" t="s">
        <v>5537</v>
      </c>
      <c r="F439" s="21" t="str">
        <f>HYPERLINK("https://psearch.kitsapgov.com/webappa/index.html?parcelID=1550052&amp;Theme=Imagery","1550052")</f>
        <v>1550052</v>
      </c>
      <c r="G439" s="16" t="s">
        <v>5538</v>
      </c>
      <c r="H439" s="17">
        <v>42969</v>
      </c>
      <c r="I439" s="18">
        <v>850000</v>
      </c>
      <c r="J439" s="19">
        <v>0.09</v>
      </c>
      <c r="K439" s="16" t="s">
        <v>944</v>
      </c>
      <c r="L439" s="16" t="s">
        <v>4656</v>
      </c>
      <c r="M439" s="16" t="s">
        <v>5539</v>
      </c>
      <c r="N439" s="16" t="s">
        <v>5524</v>
      </c>
    </row>
    <row r="440" spans="1:14" ht="20.100000000000001" customHeight="1" x14ac:dyDescent="0.25">
      <c r="A440" s="15" t="s">
        <v>5536</v>
      </c>
      <c r="B440" s="16" t="s">
        <v>330</v>
      </c>
      <c r="C440" s="15">
        <v>8400201</v>
      </c>
      <c r="D440" s="16" t="s">
        <v>941</v>
      </c>
      <c r="E440" s="15" t="s">
        <v>5540</v>
      </c>
      <c r="F440" s="21" t="str">
        <f>HYPERLINK("https://psearch.kitsapgov.com/webappa/index.html?parcelID=1550151&amp;Theme=Imagery","1550151")</f>
        <v>1550151</v>
      </c>
      <c r="G440" s="16" t="s">
        <v>5541</v>
      </c>
      <c r="H440" s="17">
        <v>42969</v>
      </c>
      <c r="I440" s="18">
        <v>850000</v>
      </c>
      <c r="J440" s="19">
        <v>0.12</v>
      </c>
      <c r="K440" s="16" t="s">
        <v>944</v>
      </c>
      <c r="L440" s="16" t="s">
        <v>4656</v>
      </c>
      <c r="M440" s="16" t="s">
        <v>5539</v>
      </c>
      <c r="N440" s="16" t="s">
        <v>5524</v>
      </c>
    </row>
    <row r="441" spans="1:14" ht="39.950000000000003" customHeight="1" x14ac:dyDescent="0.25">
      <c r="A441" s="15" t="s">
        <v>5542</v>
      </c>
      <c r="B441" s="16" t="s">
        <v>57</v>
      </c>
      <c r="C441" s="15">
        <v>8303601</v>
      </c>
      <c r="D441" s="16" t="s">
        <v>50</v>
      </c>
      <c r="E441" s="15" t="s">
        <v>5543</v>
      </c>
      <c r="F441" s="21" t="str">
        <f>HYPERLINK("https://psearch.kitsapgov.com/webappa/index.html?parcelID=2517787&amp;Theme=Imagery","2517787")</f>
        <v>2517787</v>
      </c>
      <c r="G441" s="16" t="s">
        <v>5544</v>
      </c>
      <c r="H441" s="17">
        <v>42970</v>
      </c>
      <c r="I441" s="18">
        <v>800000</v>
      </c>
      <c r="J441" s="19">
        <v>0.19</v>
      </c>
      <c r="K441" s="16" t="s">
        <v>326</v>
      </c>
      <c r="L441" s="16" t="s">
        <v>20</v>
      </c>
      <c r="M441" s="16" t="s">
        <v>5545</v>
      </c>
      <c r="N441" s="16" t="s">
        <v>5546</v>
      </c>
    </row>
    <row r="442" spans="1:14" ht="20.100000000000001" customHeight="1" x14ac:dyDescent="0.25">
      <c r="A442" s="15" t="s">
        <v>5542</v>
      </c>
      <c r="B442" s="16" t="s">
        <v>89</v>
      </c>
      <c r="C442" s="15">
        <v>8303601</v>
      </c>
      <c r="D442" s="16" t="s">
        <v>50</v>
      </c>
      <c r="E442" s="15" t="s">
        <v>5547</v>
      </c>
      <c r="F442" s="21" t="str">
        <f>HYPERLINK("https://psearch.kitsapgov.com/webappa/index.html?parcelID=2517795&amp;Theme=Imagery","2517795")</f>
        <v>2517795</v>
      </c>
      <c r="G442" s="16" t="s">
        <v>5548</v>
      </c>
      <c r="H442" s="17">
        <v>42970</v>
      </c>
      <c r="I442" s="18">
        <v>800000</v>
      </c>
      <c r="J442" s="19">
        <v>0.19</v>
      </c>
      <c r="K442" s="16" t="s">
        <v>326</v>
      </c>
      <c r="L442" s="16" t="s">
        <v>20</v>
      </c>
      <c r="M442" s="16" t="s">
        <v>5545</v>
      </c>
      <c r="N442" s="16" t="s">
        <v>5546</v>
      </c>
    </row>
    <row r="443" spans="1:14" ht="39.950000000000003" customHeight="1" x14ac:dyDescent="0.25">
      <c r="A443" s="15" t="s">
        <v>5549</v>
      </c>
      <c r="B443" s="16" t="s">
        <v>74</v>
      </c>
      <c r="C443" s="15">
        <v>8402305</v>
      </c>
      <c r="D443" s="16" t="s">
        <v>259</v>
      </c>
      <c r="E443" s="15" t="s">
        <v>5550</v>
      </c>
      <c r="F443" s="21" t="str">
        <f>HYPERLINK("https://psearch.kitsapgov.com/webappa/index.html?parcelID=2453454&amp;Theme=Imagery","2453454")</f>
        <v>2453454</v>
      </c>
      <c r="G443" s="16" t="s">
        <v>5551</v>
      </c>
      <c r="H443" s="17">
        <v>42972</v>
      </c>
      <c r="I443" s="18">
        <v>650000</v>
      </c>
      <c r="J443" s="19">
        <v>0.46</v>
      </c>
      <c r="K443" s="16" t="s">
        <v>302</v>
      </c>
      <c r="L443" s="16" t="s">
        <v>4645</v>
      </c>
      <c r="M443" s="16" t="s">
        <v>5552</v>
      </c>
      <c r="N443" s="16" t="s">
        <v>5553</v>
      </c>
    </row>
    <row r="444" spans="1:14" ht="20.100000000000001" customHeight="1" x14ac:dyDescent="0.25">
      <c r="A444" s="15" t="s">
        <v>5549</v>
      </c>
      <c r="B444" s="16" t="s">
        <v>74</v>
      </c>
      <c r="C444" s="15">
        <v>8402305</v>
      </c>
      <c r="D444" s="16" t="s">
        <v>259</v>
      </c>
      <c r="E444" s="15" t="s">
        <v>5554</v>
      </c>
      <c r="F444" s="21" t="str">
        <f>HYPERLINK("https://psearch.kitsapgov.com/webappa/index.html?parcelID=2453462&amp;Theme=Imagery","2453462")</f>
        <v>2453462</v>
      </c>
      <c r="G444" s="16" t="s">
        <v>5555</v>
      </c>
      <c r="H444" s="17">
        <v>42972</v>
      </c>
      <c r="I444" s="18">
        <v>650000</v>
      </c>
      <c r="J444" s="19">
        <v>0.67</v>
      </c>
      <c r="K444" s="16" t="s">
        <v>302</v>
      </c>
      <c r="L444" s="16" t="s">
        <v>4645</v>
      </c>
      <c r="M444" s="16" t="s">
        <v>5552</v>
      </c>
      <c r="N444" s="16" t="s">
        <v>5553</v>
      </c>
    </row>
    <row r="445" spans="1:14" ht="20.100000000000001" customHeight="1" x14ac:dyDescent="0.25">
      <c r="A445" s="15" t="s">
        <v>5549</v>
      </c>
      <c r="B445" s="16" t="s">
        <v>74</v>
      </c>
      <c r="C445" s="15">
        <v>8402305</v>
      </c>
      <c r="D445" s="16" t="s">
        <v>259</v>
      </c>
      <c r="E445" s="15" t="s">
        <v>5556</v>
      </c>
      <c r="F445" s="21" t="str">
        <f>HYPERLINK("https://psearch.kitsapgov.com/webappa/index.html?parcelID=2453470&amp;Theme=Imagery","2453470")</f>
        <v>2453470</v>
      </c>
      <c r="G445" s="16" t="s">
        <v>5557</v>
      </c>
      <c r="H445" s="17">
        <v>42972</v>
      </c>
      <c r="I445" s="18">
        <v>650000</v>
      </c>
      <c r="J445" s="19">
        <v>0.64</v>
      </c>
      <c r="K445" s="16" t="s">
        <v>302</v>
      </c>
      <c r="L445" s="16" t="s">
        <v>4645</v>
      </c>
      <c r="M445" s="16" t="s">
        <v>5552</v>
      </c>
      <c r="N445" s="16" t="s">
        <v>5553</v>
      </c>
    </row>
    <row r="446" spans="1:14" ht="20.100000000000001" customHeight="1" x14ac:dyDescent="0.25">
      <c r="A446" s="15" t="s">
        <v>5549</v>
      </c>
      <c r="B446" s="16" t="s">
        <v>74</v>
      </c>
      <c r="C446" s="15">
        <v>8402305</v>
      </c>
      <c r="D446" s="16" t="s">
        <v>259</v>
      </c>
      <c r="E446" s="15" t="s">
        <v>5558</v>
      </c>
      <c r="F446" s="21" t="str">
        <f>HYPERLINK("https://psearch.kitsapgov.com/webappa/index.html?parcelID=2453488&amp;Theme=Imagery","2453488")</f>
        <v>2453488</v>
      </c>
      <c r="G446" s="16" t="s">
        <v>5559</v>
      </c>
      <c r="H446" s="17">
        <v>42972</v>
      </c>
      <c r="I446" s="18">
        <v>650000</v>
      </c>
      <c r="J446" s="19">
        <v>0.48</v>
      </c>
      <c r="K446" s="16" t="s">
        <v>302</v>
      </c>
      <c r="L446" s="16" t="s">
        <v>4645</v>
      </c>
      <c r="M446" s="16" t="s">
        <v>5552</v>
      </c>
      <c r="N446" s="16" t="s">
        <v>5553</v>
      </c>
    </row>
    <row r="447" spans="1:14" ht="39.950000000000003" customHeight="1" x14ac:dyDescent="0.25">
      <c r="A447" s="15" t="s">
        <v>5560</v>
      </c>
      <c r="B447" s="16" t="s">
        <v>393</v>
      </c>
      <c r="C447" s="15">
        <v>9402390</v>
      </c>
      <c r="D447" s="16" t="s">
        <v>271</v>
      </c>
      <c r="E447" s="15" t="s">
        <v>5561</v>
      </c>
      <c r="F447" s="21" t="str">
        <f>HYPERLINK("https://psearch.kitsapgov.com/webappa/index.html?parcelID=1721406&amp;Theme=Imagery","1721406")</f>
        <v>1721406</v>
      </c>
      <c r="G447" s="16" t="s">
        <v>5562</v>
      </c>
      <c r="H447" s="17">
        <v>42978</v>
      </c>
      <c r="I447" s="18">
        <v>15250000</v>
      </c>
      <c r="J447" s="19">
        <v>5.49</v>
      </c>
      <c r="K447" s="16" t="s">
        <v>397</v>
      </c>
      <c r="L447" s="16" t="s">
        <v>4645</v>
      </c>
      <c r="M447" s="16" t="s">
        <v>5563</v>
      </c>
      <c r="N447" s="16" t="s">
        <v>5564</v>
      </c>
    </row>
    <row r="448" spans="1:14" ht="20.100000000000001" customHeight="1" x14ac:dyDescent="0.25">
      <c r="A448" s="15" t="s">
        <v>5560</v>
      </c>
      <c r="B448" s="16" t="s">
        <v>393</v>
      </c>
      <c r="C448" s="15">
        <v>9402390</v>
      </c>
      <c r="D448" s="16" t="s">
        <v>271</v>
      </c>
      <c r="E448" s="15" t="s">
        <v>5565</v>
      </c>
      <c r="F448" s="21" t="str">
        <f>HYPERLINK("https://psearch.kitsapgov.com/webappa/index.html?parcelID=2446391&amp;Theme=Imagery","2446391")</f>
        <v>2446391</v>
      </c>
      <c r="G448" s="16" t="s">
        <v>5566</v>
      </c>
      <c r="H448" s="17">
        <v>42978</v>
      </c>
      <c r="I448" s="18">
        <v>15250000</v>
      </c>
      <c r="J448" s="19">
        <v>4.72</v>
      </c>
      <c r="K448" s="16" t="s">
        <v>397</v>
      </c>
      <c r="L448" s="16" t="s">
        <v>4645</v>
      </c>
      <c r="M448" s="16" t="s">
        <v>5563</v>
      </c>
      <c r="N448" s="16" t="s">
        <v>5564</v>
      </c>
    </row>
    <row r="449" spans="1:14" ht="39.950000000000003" customHeight="1" x14ac:dyDescent="0.25">
      <c r="A449" s="15" t="s">
        <v>5567</v>
      </c>
      <c r="B449" s="16" t="s">
        <v>57</v>
      </c>
      <c r="C449" s="15">
        <v>8400202</v>
      </c>
      <c r="D449" s="16" t="s">
        <v>158</v>
      </c>
      <c r="E449" s="15" t="s">
        <v>5568</v>
      </c>
      <c r="F449" s="21" t="str">
        <f>HYPERLINK("https://psearch.kitsapgov.com/webappa/index.html?parcelID=1328574&amp;Theme=Imagery","1328574")</f>
        <v>1328574</v>
      </c>
      <c r="G449" s="16" t="s">
        <v>5569</v>
      </c>
      <c r="H449" s="17">
        <v>42990</v>
      </c>
      <c r="I449" s="18">
        <v>1000000</v>
      </c>
      <c r="J449" s="19">
        <v>0.81</v>
      </c>
      <c r="K449" s="16" t="s">
        <v>279</v>
      </c>
      <c r="L449" s="16" t="s">
        <v>4645</v>
      </c>
      <c r="M449" s="16" t="s">
        <v>5570</v>
      </c>
      <c r="N449" s="16" t="s">
        <v>5571</v>
      </c>
    </row>
    <row r="450" spans="1:14" ht="20.100000000000001" customHeight="1" x14ac:dyDescent="0.25">
      <c r="A450" s="15" t="s">
        <v>5567</v>
      </c>
      <c r="B450" s="16" t="s">
        <v>306</v>
      </c>
      <c r="C450" s="15">
        <v>8400202</v>
      </c>
      <c r="D450" s="16" t="s">
        <v>158</v>
      </c>
      <c r="E450" s="15" t="s">
        <v>5572</v>
      </c>
      <c r="F450" s="21" t="str">
        <f>HYPERLINK("https://psearch.kitsapgov.com/webappa/index.html?parcelID=1328582&amp;Theme=Imagery","1328582")</f>
        <v>1328582</v>
      </c>
      <c r="G450" s="16" t="s">
        <v>5573</v>
      </c>
      <c r="H450" s="17">
        <v>42990</v>
      </c>
      <c r="I450" s="18">
        <v>1000000</v>
      </c>
      <c r="J450" s="19">
        <v>2.25</v>
      </c>
      <c r="K450" s="16" t="s">
        <v>279</v>
      </c>
      <c r="L450" s="16" t="s">
        <v>4645</v>
      </c>
      <c r="M450" s="16" t="s">
        <v>5570</v>
      </c>
      <c r="N450" s="16" t="s">
        <v>5571</v>
      </c>
    </row>
    <row r="451" spans="1:14" ht="39.950000000000003" customHeight="1" x14ac:dyDescent="0.25">
      <c r="A451" s="15" t="s">
        <v>5574</v>
      </c>
      <c r="B451" s="16" t="s">
        <v>5575</v>
      </c>
      <c r="C451" s="15">
        <v>8100502</v>
      </c>
      <c r="D451" s="16" t="s">
        <v>67</v>
      </c>
      <c r="E451" s="15" t="s">
        <v>5576</v>
      </c>
      <c r="F451" s="21" t="str">
        <f>HYPERLINK("https://psearch.kitsapgov.com/webappa/index.html?parcelID=1156686&amp;Theme=Imagery","1156686")</f>
        <v>1156686</v>
      </c>
      <c r="G451" s="16" t="s">
        <v>5577</v>
      </c>
      <c r="H451" s="17">
        <v>43013</v>
      </c>
      <c r="I451" s="18">
        <v>1350000</v>
      </c>
      <c r="J451" s="19">
        <v>0.2</v>
      </c>
      <c r="K451" s="16" t="s">
        <v>173</v>
      </c>
      <c r="L451" s="16" t="s">
        <v>4656</v>
      </c>
      <c r="M451" s="16" t="s">
        <v>774</v>
      </c>
      <c r="N451" s="16" t="s">
        <v>5578</v>
      </c>
    </row>
    <row r="452" spans="1:14" ht="20.100000000000001" customHeight="1" x14ac:dyDescent="0.25">
      <c r="A452" s="15" t="s">
        <v>5574</v>
      </c>
      <c r="B452" s="16" t="s">
        <v>66</v>
      </c>
      <c r="C452" s="15">
        <v>8100502</v>
      </c>
      <c r="D452" s="16" t="s">
        <v>67</v>
      </c>
      <c r="E452" s="15" t="s">
        <v>5579</v>
      </c>
      <c r="F452" s="21" t="str">
        <f>HYPERLINK("https://psearch.kitsapgov.com/webappa/index.html?parcelID=1471721&amp;Theme=Imagery","1471721")</f>
        <v>1471721</v>
      </c>
      <c r="G452" s="16" t="s">
        <v>5580</v>
      </c>
      <c r="H452" s="17">
        <v>43013</v>
      </c>
      <c r="I452" s="18">
        <v>1350000</v>
      </c>
      <c r="J452" s="19">
        <v>0.77</v>
      </c>
      <c r="K452" s="16" t="s">
        <v>173</v>
      </c>
      <c r="L452" s="16" t="s">
        <v>4656</v>
      </c>
      <c r="M452" s="16" t="s">
        <v>774</v>
      </c>
      <c r="N452" s="16" t="s">
        <v>5578</v>
      </c>
    </row>
    <row r="453" spans="1:14" ht="39.950000000000003" customHeight="1" x14ac:dyDescent="0.25">
      <c r="A453" s="15" t="s">
        <v>5581</v>
      </c>
      <c r="B453" s="16" t="s">
        <v>330</v>
      </c>
      <c r="C453" s="15">
        <v>8100506</v>
      </c>
      <c r="D453" s="16" t="s">
        <v>25</v>
      </c>
      <c r="E453" s="15" t="s">
        <v>5582</v>
      </c>
      <c r="F453" s="21" t="str">
        <f>HYPERLINK("https://psearch.kitsapgov.com/webappa/index.html?parcelID=1920016&amp;Theme=Imagery","1920016")</f>
        <v>1920016</v>
      </c>
      <c r="G453" s="16" t="s">
        <v>5583</v>
      </c>
      <c r="H453" s="17">
        <v>43021</v>
      </c>
      <c r="I453" s="18">
        <v>270000</v>
      </c>
      <c r="J453" s="19">
        <v>0.74</v>
      </c>
      <c r="K453" s="16" t="s">
        <v>85</v>
      </c>
      <c r="L453" s="16" t="s">
        <v>4645</v>
      </c>
      <c r="M453" s="16" t="s">
        <v>5584</v>
      </c>
      <c r="N453" s="16" t="s">
        <v>5585</v>
      </c>
    </row>
    <row r="454" spans="1:14" ht="20.100000000000001" customHeight="1" x14ac:dyDescent="0.25">
      <c r="A454" s="15" t="s">
        <v>5581</v>
      </c>
      <c r="B454" s="16" t="s">
        <v>330</v>
      </c>
      <c r="C454" s="15">
        <v>8100506</v>
      </c>
      <c r="D454" s="16" t="s">
        <v>25</v>
      </c>
      <c r="E454" s="15" t="s">
        <v>5586</v>
      </c>
      <c r="F454" s="21" t="str">
        <f>HYPERLINK("https://psearch.kitsapgov.com/webappa/index.html?parcelID=1920032&amp;Theme=Imagery","1920032")</f>
        <v>1920032</v>
      </c>
      <c r="G454" s="16" t="s">
        <v>5587</v>
      </c>
      <c r="H454" s="17">
        <v>43021</v>
      </c>
      <c r="I454" s="18">
        <v>270000</v>
      </c>
      <c r="J454" s="19">
        <v>0.73</v>
      </c>
      <c r="K454" s="16" t="s">
        <v>85</v>
      </c>
      <c r="L454" s="16" t="s">
        <v>4645</v>
      </c>
      <c r="M454" s="16" t="s">
        <v>5584</v>
      </c>
      <c r="N454" s="16" t="s">
        <v>5585</v>
      </c>
    </row>
    <row r="455" spans="1:14" ht="39.950000000000003" customHeight="1" x14ac:dyDescent="0.25">
      <c r="A455" s="15" t="s">
        <v>5588</v>
      </c>
      <c r="B455" s="16" t="s">
        <v>4676</v>
      </c>
      <c r="C455" s="15">
        <v>8400202</v>
      </c>
      <c r="D455" s="16" t="s">
        <v>158</v>
      </c>
      <c r="E455" s="15" t="s">
        <v>5589</v>
      </c>
      <c r="F455" s="21" t="str">
        <f>HYPERLINK("https://psearch.kitsapgov.com/webappa/index.html?parcelID=2569523&amp;Theme=Imagery","2569523")</f>
        <v>2569523</v>
      </c>
      <c r="G455" s="16" t="s">
        <v>5590</v>
      </c>
      <c r="H455" s="17">
        <v>43039</v>
      </c>
      <c r="I455" s="18">
        <v>14029910</v>
      </c>
      <c r="J455" s="19">
        <v>4.88</v>
      </c>
      <c r="K455" s="16" t="s">
        <v>100</v>
      </c>
      <c r="L455" s="16" t="s">
        <v>4656</v>
      </c>
      <c r="M455" s="16" t="s">
        <v>4693</v>
      </c>
      <c r="N455" s="16" t="s">
        <v>5591</v>
      </c>
    </row>
    <row r="456" spans="1:14" ht="20.100000000000001" customHeight="1" x14ac:dyDescent="0.25">
      <c r="A456" s="15" t="s">
        <v>5588</v>
      </c>
      <c r="B456" s="16" t="s">
        <v>57</v>
      </c>
      <c r="C456" s="15">
        <v>8400202</v>
      </c>
      <c r="D456" s="16" t="s">
        <v>158</v>
      </c>
      <c r="E456" s="15" t="s">
        <v>5592</v>
      </c>
      <c r="F456" s="21" t="str">
        <f>HYPERLINK("https://psearch.kitsapgov.com/webappa/index.html?parcelID=2569549&amp;Theme=Imagery","2569549")</f>
        <v>2569549</v>
      </c>
      <c r="G456" s="16" t="s">
        <v>5593</v>
      </c>
      <c r="H456" s="17">
        <v>43039</v>
      </c>
      <c r="I456" s="18">
        <v>14029910</v>
      </c>
      <c r="J456" s="19">
        <v>0.67</v>
      </c>
      <c r="K456" s="16" t="s">
        <v>100</v>
      </c>
      <c r="L456" s="16" t="s">
        <v>4656</v>
      </c>
      <c r="M456" s="16" t="s">
        <v>4693</v>
      </c>
      <c r="N456" s="16" t="s">
        <v>5591</v>
      </c>
    </row>
    <row r="457" spans="1:14" ht="39.950000000000003" customHeight="1" x14ac:dyDescent="0.25">
      <c r="A457" s="15" t="s">
        <v>5594</v>
      </c>
      <c r="B457" s="16" t="s">
        <v>57</v>
      </c>
      <c r="C457" s="15">
        <v>9100541</v>
      </c>
      <c r="D457" s="16" t="s">
        <v>215</v>
      </c>
      <c r="E457" s="15" t="s">
        <v>5595</v>
      </c>
      <c r="F457" s="21" t="str">
        <f>HYPERLINK("https://psearch.kitsapgov.com/webappa/index.html?parcelID=1439173&amp;Theme=Imagery","1439173")</f>
        <v>1439173</v>
      </c>
      <c r="G457" s="16" t="s">
        <v>5596</v>
      </c>
      <c r="H457" s="17">
        <v>43038</v>
      </c>
      <c r="I457" s="18">
        <v>138000</v>
      </c>
      <c r="J457" s="19">
        <v>0.14000000000000001</v>
      </c>
      <c r="K457" s="16" t="s">
        <v>28</v>
      </c>
      <c r="L457" s="16" t="s">
        <v>4656</v>
      </c>
      <c r="M457" s="16" t="s">
        <v>5597</v>
      </c>
      <c r="N457" s="16" t="s">
        <v>5598</v>
      </c>
    </row>
    <row r="458" spans="1:14" ht="20.100000000000001" customHeight="1" x14ac:dyDescent="0.25">
      <c r="A458" s="15" t="s">
        <v>5594</v>
      </c>
      <c r="B458" s="16" t="s">
        <v>49</v>
      </c>
      <c r="C458" s="15">
        <v>7100541</v>
      </c>
      <c r="D458" s="16" t="s">
        <v>5599</v>
      </c>
      <c r="E458" s="15" t="s">
        <v>5600</v>
      </c>
      <c r="F458" s="21" t="str">
        <f>HYPERLINK("https://psearch.kitsapgov.com/webappa/index.html?parcelID=1439181&amp;Theme=Imagery","1439181")</f>
        <v>1439181</v>
      </c>
      <c r="G458" s="16" t="s">
        <v>5601</v>
      </c>
      <c r="H458" s="17">
        <v>43038</v>
      </c>
      <c r="I458" s="18">
        <v>138000</v>
      </c>
      <c r="J458" s="19">
        <v>0.14000000000000001</v>
      </c>
      <c r="K458" s="16" t="s">
        <v>28</v>
      </c>
      <c r="L458" s="16" t="s">
        <v>4656</v>
      </c>
      <c r="M458" s="16" t="s">
        <v>5597</v>
      </c>
      <c r="N458" s="16" t="s">
        <v>5598</v>
      </c>
    </row>
    <row r="459" spans="1:14" ht="39.950000000000003" customHeight="1" x14ac:dyDescent="0.25">
      <c r="A459" s="15" t="s">
        <v>5602</v>
      </c>
      <c r="B459" s="16" t="s">
        <v>3181</v>
      </c>
      <c r="C459" s="15">
        <v>7402407</v>
      </c>
      <c r="D459" s="16" t="s">
        <v>5603</v>
      </c>
      <c r="E459" s="15" t="s">
        <v>5604</v>
      </c>
      <c r="F459" s="21" t="str">
        <f>HYPERLINK("https://psearch.kitsapgov.com/webappa/index.html?parcelID=1051465&amp;Theme=Imagery","1051465")</f>
        <v>1051465</v>
      </c>
      <c r="G459" s="16" t="s">
        <v>5605</v>
      </c>
      <c r="H459" s="17">
        <v>43048</v>
      </c>
      <c r="I459" s="18">
        <v>402070</v>
      </c>
      <c r="J459" s="19">
        <v>10.42</v>
      </c>
      <c r="K459" s="16" t="s">
        <v>128</v>
      </c>
      <c r="L459" s="16" t="s">
        <v>246</v>
      </c>
      <c r="M459" s="16" t="s">
        <v>5606</v>
      </c>
      <c r="N459" s="16" t="s">
        <v>5607</v>
      </c>
    </row>
    <row r="460" spans="1:14" ht="20.100000000000001" customHeight="1" x14ac:dyDescent="0.25">
      <c r="A460" s="15" t="s">
        <v>5602</v>
      </c>
      <c r="B460" s="16" t="s">
        <v>3181</v>
      </c>
      <c r="C460" s="15">
        <v>8402405</v>
      </c>
      <c r="D460" s="16" t="s">
        <v>1010</v>
      </c>
      <c r="E460" s="15" t="s">
        <v>5608</v>
      </c>
      <c r="F460" s="21" t="str">
        <f>HYPERLINK("https://psearch.kitsapgov.com/webappa/index.html?parcelID=1051481&amp;Theme=Imagery","1051481")</f>
        <v>1051481</v>
      </c>
      <c r="G460" s="16" t="s">
        <v>5609</v>
      </c>
      <c r="H460" s="17">
        <v>43048</v>
      </c>
      <c r="I460" s="18">
        <v>402070</v>
      </c>
      <c r="J460" s="19">
        <v>5.4</v>
      </c>
      <c r="K460" s="16" t="s">
        <v>194</v>
      </c>
      <c r="L460" s="16" t="s">
        <v>246</v>
      </c>
      <c r="M460" s="16" t="s">
        <v>5606</v>
      </c>
      <c r="N460" s="16" t="s">
        <v>5607</v>
      </c>
    </row>
    <row r="461" spans="1:14" ht="39.950000000000003" customHeight="1" x14ac:dyDescent="0.25">
      <c r="A461" s="15" t="s">
        <v>5610</v>
      </c>
      <c r="B461" s="16" t="s">
        <v>306</v>
      </c>
      <c r="C461" s="15">
        <v>8402305</v>
      </c>
      <c r="D461" s="16" t="s">
        <v>259</v>
      </c>
      <c r="E461" s="15" t="s">
        <v>5611</v>
      </c>
      <c r="F461" s="21" t="str">
        <f>HYPERLINK("https://psearch.kitsapgov.com/webappa/index.html?parcelID=1049915&amp;Theme=Imagery","1049915")</f>
        <v>1049915</v>
      </c>
      <c r="G461" s="16" t="s">
        <v>5612</v>
      </c>
      <c r="H461" s="17">
        <v>43055</v>
      </c>
      <c r="I461" s="18">
        <v>850000</v>
      </c>
      <c r="J461" s="19">
        <v>1.1399999999999999</v>
      </c>
      <c r="K461" s="16" t="s">
        <v>61</v>
      </c>
      <c r="L461" s="16" t="s">
        <v>4656</v>
      </c>
      <c r="M461" s="16" t="s">
        <v>5613</v>
      </c>
      <c r="N461" s="16" t="s">
        <v>5614</v>
      </c>
    </row>
    <row r="462" spans="1:14" ht="20.100000000000001" customHeight="1" x14ac:dyDescent="0.25">
      <c r="A462" s="15" t="s">
        <v>5610</v>
      </c>
      <c r="B462" s="16" t="s">
        <v>57</v>
      </c>
      <c r="C462" s="15">
        <v>8402305</v>
      </c>
      <c r="D462" s="16" t="s">
        <v>259</v>
      </c>
      <c r="E462" s="15" t="s">
        <v>5615</v>
      </c>
      <c r="F462" s="21" t="str">
        <f>HYPERLINK("https://psearch.kitsapgov.com/webappa/index.html?parcelID=1049956&amp;Theme=Imagery","1049956")</f>
        <v>1049956</v>
      </c>
      <c r="G462" s="16" t="s">
        <v>5616</v>
      </c>
      <c r="H462" s="17">
        <v>43055</v>
      </c>
      <c r="I462" s="18">
        <v>850000</v>
      </c>
      <c r="J462" s="19">
        <v>1.25</v>
      </c>
      <c r="K462" s="16" t="s">
        <v>61</v>
      </c>
      <c r="L462" s="16" t="s">
        <v>4656</v>
      </c>
      <c r="M462" s="16" t="s">
        <v>5613</v>
      </c>
      <c r="N462" s="16" t="s">
        <v>5614</v>
      </c>
    </row>
    <row r="463" spans="1:14" ht="39.950000000000003" customHeight="1" x14ac:dyDescent="0.25">
      <c r="A463" s="15" t="s">
        <v>5617</v>
      </c>
      <c r="B463" s="16" t="s">
        <v>57</v>
      </c>
      <c r="C463" s="15">
        <v>8400203</v>
      </c>
      <c r="D463" s="16" t="s">
        <v>97</v>
      </c>
      <c r="E463" s="15" t="s">
        <v>5618</v>
      </c>
      <c r="F463" s="21" t="str">
        <f>HYPERLINK("https://psearch.kitsapgov.com/webappa/index.html?parcelID=1946896&amp;Theme=Imagery","1946896")</f>
        <v>1946896</v>
      </c>
      <c r="G463" s="16" t="s">
        <v>5619</v>
      </c>
      <c r="H463" s="17">
        <v>43069</v>
      </c>
      <c r="I463" s="18">
        <v>1800000</v>
      </c>
      <c r="J463" s="19">
        <v>0.33</v>
      </c>
      <c r="K463" s="16" t="s">
        <v>100</v>
      </c>
      <c r="L463" s="16" t="s">
        <v>4645</v>
      </c>
      <c r="M463" s="16" t="s">
        <v>5620</v>
      </c>
      <c r="N463" s="16" t="s">
        <v>5621</v>
      </c>
    </row>
    <row r="464" spans="1:14" ht="20.100000000000001" customHeight="1" x14ac:dyDescent="0.25">
      <c r="A464" s="15" t="s">
        <v>5617</v>
      </c>
      <c r="B464" s="16" t="s">
        <v>66</v>
      </c>
      <c r="C464" s="15">
        <v>8400203</v>
      </c>
      <c r="D464" s="16" t="s">
        <v>97</v>
      </c>
      <c r="E464" s="15" t="s">
        <v>5622</v>
      </c>
      <c r="F464" s="21" t="str">
        <f>HYPERLINK("https://psearch.kitsapgov.com/webappa/index.html?parcelID=1946904&amp;Theme=Imagery","1946904")</f>
        <v>1946904</v>
      </c>
      <c r="G464" s="16" t="s">
        <v>5623</v>
      </c>
      <c r="H464" s="17">
        <v>43069</v>
      </c>
      <c r="I464" s="18">
        <v>1800000</v>
      </c>
      <c r="J464" s="19">
        <v>1.0900000000000001</v>
      </c>
      <c r="K464" s="16" t="s">
        <v>100</v>
      </c>
      <c r="L464" s="16" t="s">
        <v>4645</v>
      </c>
      <c r="M464" s="16" t="s">
        <v>5620</v>
      </c>
      <c r="N464" s="16" t="s">
        <v>5621</v>
      </c>
    </row>
    <row r="465" spans="1:14" ht="20.100000000000001" customHeight="1" x14ac:dyDescent="0.25">
      <c r="A465" s="15" t="s">
        <v>5617</v>
      </c>
      <c r="B465" s="16" t="s">
        <v>57</v>
      </c>
      <c r="C465" s="15">
        <v>8400203</v>
      </c>
      <c r="D465" s="16" t="s">
        <v>97</v>
      </c>
      <c r="E465" s="15" t="s">
        <v>5624</v>
      </c>
      <c r="F465" s="21" t="str">
        <f>HYPERLINK("https://psearch.kitsapgov.com/webappa/index.html?parcelID=1946912&amp;Theme=Imagery","1946912")</f>
        <v>1946912</v>
      </c>
      <c r="G465" s="16" t="s">
        <v>5625</v>
      </c>
      <c r="H465" s="17">
        <v>43069</v>
      </c>
      <c r="I465" s="18">
        <v>1800000</v>
      </c>
      <c r="J465" s="19">
        <v>0.4</v>
      </c>
      <c r="K465" s="16" t="s">
        <v>100</v>
      </c>
      <c r="L465" s="16" t="s">
        <v>4645</v>
      </c>
      <c r="M465" s="16" t="s">
        <v>5620</v>
      </c>
      <c r="N465" s="16" t="s">
        <v>5621</v>
      </c>
    </row>
    <row r="466" spans="1:14" ht="20.100000000000001" customHeight="1" x14ac:dyDescent="0.25">
      <c r="A466" s="15" t="s">
        <v>5617</v>
      </c>
      <c r="B466" s="16" t="s">
        <v>57</v>
      </c>
      <c r="C466" s="15">
        <v>8400203</v>
      </c>
      <c r="D466" s="16" t="s">
        <v>97</v>
      </c>
      <c r="E466" s="15" t="s">
        <v>5626</v>
      </c>
      <c r="F466" s="21" t="str">
        <f>HYPERLINK("https://psearch.kitsapgov.com/webappa/index.html?parcelID=1946920&amp;Theme=Imagery","1946920")</f>
        <v>1946920</v>
      </c>
      <c r="G466" s="16" t="s">
        <v>5627</v>
      </c>
      <c r="H466" s="17">
        <v>43069</v>
      </c>
      <c r="I466" s="18">
        <v>1800000</v>
      </c>
      <c r="J466" s="19">
        <v>0.54</v>
      </c>
      <c r="K466" s="16" t="s">
        <v>100</v>
      </c>
      <c r="L466" s="16" t="s">
        <v>4645</v>
      </c>
      <c r="M466" s="16" t="s">
        <v>5620</v>
      </c>
      <c r="N466" s="16" t="s">
        <v>5621</v>
      </c>
    </row>
    <row r="467" spans="1:14" ht="20.100000000000001" customHeight="1" x14ac:dyDescent="0.25">
      <c r="A467" s="15" t="s">
        <v>5617</v>
      </c>
      <c r="B467" s="16" t="s">
        <v>57</v>
      </c>
      <c r="C467" s="15">
        <v>8400203</v>
      </c>
      <c r="D467" s="16" t="s">
        <v>97</v>
      </c>
      <c r="E467" s="15" t="s">
        <v>5628</v>
      </c>
      <c r="F467" s="21" t="str">
        <f>HYPERLINK("https://psearch.kitsapgov.com/webappa/index.html?parcelID=1946953&amp;Theme=Imagery","1946953")</f>
        <v>1946953</v>
      </c>
      <c r="G467" s="16" t="s">
        <v>5629</v>
      </c>
      <c r="H467" s="17">
        <v>43069</v>
      </c>
      <c r="I467" s="18">
        <v>1800000</v>
      </c>
      <c r="J467" s="19">
        <v>1.1499999999999999</v>
      </c>
      <c r="K467" s="16" t="s">
        <v>100</v>
      </c>
      <c r="L467" s="16" t="s">
        <v>4645</v>
      </c>
      <c r="M467" s="16" t="s">
        <v>5620</v>
      </c>
      <c r="N467" s="16" t="s">
        <v>5621</v>
      </c>
    </row>
    <row r="468" spans="1:14" ht="20.100000000000001" customHeight="1" x14ac:dyDescent="0.25">
      <c r="A468" s="15" t="s">
        <v>5617</v>
      </c>
      <c r="B468" s="16" t="s">
        <v>66</v>
      </c>
      <c r="C468" s="15">
        <v>8400203</v>
      </c>
      <c r="D468" s="16" t="s">
        <v>97</v>
      </c>
      <c r="E468" s="15" t="s">
        <v>5630</v>
      </c>
      <c r="F468" s="21" t="str">
        <f>HYPERLINK("https://psearch.kitsapgov.com/webappa/index.html?parcelID=1946961&amp;Theme=Imagery","1946961")</f>
        <v>1946961</v>
      </c>
      <c r="G468" s="16" t="s">
        <v>5631</v>
      </c>
      <c r="H468" s="17">
        <v>43069</v>
      </c>
      <c r="I468" s="18">
        <v>1800000</v>
      </c>
      <c r="J468" s="19">
        <v>1.49</v>
      </c>
      <c r="K468" s="16" t="s">
        <v>100</v>
      </c>
      <c r="L468" s="16" t="s">
        <v>4645</v>
      </c>
      <c r="M468" s="16" t="s">
        <v>5620</v>
      </c>
      <c r="N468" s="16" t="s">
        <v>5621</v>
      </c>
    </row>
    <row r="469" spans="1:14" ht="39.950000000000003" customHeight="1" x14ac:dyDescent="0.25">
      <c r="A469" s="15" t="s">
        <v>5632</v>
      </c>
      <c r="B469" s="16" t="s">
        <v>57</v>
      </c>
      <c r="C469" s="15">
        <v>8400202</v>
      </c>
      <c r="D469" s="16" t="s">
        <v>158</v>
      </c>
      <c r="E469" s="15" t="s">
        <v>5633</v>
      </c>
      <c r="F469" s="21" t="str">
        <f>HYPERLINK("https://psearch.kitsapgov.com/webappa/index.html?parcelID=1329549&amp;Theme=Imagery","1329549")</f>
        <v>1329549</v>
      </c>
      <c r="G469" s="16" t="s">
        <v>5634</v>
      </c>
      <c r="H469" s="17">
        <v>43068</v>
      </c>
      <c r="I469" s="18">
        <v>1225000</v>
      </c>
      <c r="J469" s="19">
        <v>5.54</v>
      </c>
      <c r="K469" s="16" t="s">
        <v>279</v>
      </c>
      <c r="L469" s="16" t="s">
        <v>20</v>
      </c>
      <c r="M469" s="16" t="s">
        <v>1449</v>
      </c>
      <c r="N469" s="16" t="s">
        <v>5635</v>
      </c>
    </row>
    <row r="470" spans="1:14" ht="20.100000000000001" customHeight="1" x14ac:dyDescent="0.25">
      <c r="A470" s="15" t="s">
        <v>5632</v>
      </c>
      <c r="B470" s="16" t="s">
        <v>57</v>
      </c>
      <c r="C470" s="15">
        <v>8400202</v>
      </c>
      <c r="D470" s="16" t="s">
        <v>158</v>
      </c>
      <c r="E470" s="15" t="s">
        <v>5636</v>
      </c>
      <c r="F470" s="21" t="str">
        <f>HYPERLINK("https://psearch.kitsapgov.com/webappa/index.html?parcelID=1329986&amp;Theme=Imagery","1329986")</f>
        <v>1329986</v>
      </c>
      <c r="G470" s="16" t="s">
        <v>5637</v>
      </c>
      <c r="H470" s="17">
        <v>43068</v>
      </c>
      <c r="I470" s="18">
        <v>1225000</v>
      </c>
      <c r="J470" s="19">
        <v>0.32</v>
      </c>
      <c r="K470" s="16" t="s">
        <v>279</v>
      </c>
      <c r="L470" s="16" t="s">
        <v>20</v>
      </c>
      <c r="M470" s="16" t="s">
        <v>1449</v>
      </c>
      <c r="N470" s="16" t="s">
        <v>5635</v>
      </c>
    </row>
    <row r="471" spans="1:14" ht="39.950000000000003" customHeight="1" x14ac:dyDescent="0.25">
      <c r="A471" s="15" t="s">
        <v>5638</v>
      </c>
      <c r="B471" s="16" t="s">
        <v>330</v>
      </c>
      <c r="C471" s="15">
        <v>8100504</v>
      </c>
      <c r="D471" s="16" t="s">
        <v>58</v>
      </c>
      <c r="E471" s="15" t="s">
        <v>4917</v>
      </c>
      <c r="F471" s="21" t="str">
        <f>HYPERLINK("https://psearch.kitsapgov.com/webappa/index.html?parcelID=1160688&amp;Theme=Imagery","1160688")</f>
        <v>1160688</v>
      </c>
      <c r="G471" s="16" t="s">
        <v>4918</v>
      </c>
      <c r="H471" s="17">
        <v>43097</v>
      </c>
      <c r="I471" s="18">
        <v>436000</v>
      </c>
      <c r="J471" s="19">
        <v>0.03</v>
      </c>
      <c r="K471" s="16" t="s">
        <v>78</v>
      </c>
      <c r="L471" s="16" t="s">
        <v>246</v>
      </c>
      <c r="M471" s="16" t="s">
        <v>4906</v>
      </c>
      <c r="N471" s="16" t="s">
        <v>5639</v>
      </c>
    </row>
    <row r="472" spans="1:14" ht="20.100000000000001" customHeight="1" x14ac:dyDescent="0.25">
      <c r="A472" s="15" t="s">
        <v>5638</v>
      </c>
      <c r="B472" s="16" t="s">
        <v>330</v>
      </c>
      <c r="C472" s="15">
        <v>8100504</v>
      </c>
      <c r="D472" s="16" t="s">
        <v>58</v>
      </c>
      <c r="E472" s="15" t="s">
        <v>4919</v>
      </c>
      <c r="F472" s="21" t="str">
        <f>HYPERLINK("https://psearch.kitsapgov.com/webappa/index.html?parcelID=1160696&amp;Theme=Imagery","1160696")</f>
        <v>1160696</v>
      </c>
      <c r="G472" s="16" t="s">
        <v>4920</v>
      </c>
      <c r="H472" s="17">
        <v>43097</v>
      </c>
      <c r="I472" s="18">
        <v>436000</v>
      </c>
      <c r="J472" s="19">
        <v>7.0000000000000007E-2</v>
      </c>
      <c r="K472" s="16" t="s">
        <v>78</v>
      </c>
      <c r="L472" s="16" t="s">
        <v>246</v>
      </c>
      <c r="M472" s="16" t="s">
        <v>4906</v>
      </c>
      <c r="N472" s="16" t="s">
        <v>5639</v>
      </c>
    </row>
    <row r="473" spans="1:14" ht="20.100000000000001" customHeight="1" x14ac:dyDescent="0.25">
      <c r="A473" s="15" t="s">
        <v>5638</v>
      </c>
      <c r="B473" s="16" t="s">
        <v>330</v>
      </c>
      <c r="C473" s="15">
        <v>8100504</v>
      </c>
      <c r="D473" s="16" t="s">
        <v>58</v>
      </c>
      <c r="E473" s="15" t="s">
        <v>4921</v>
      </c>
      <c r="F473" s="21" t="str">
        <f>HYPERLINK("https://psearch.kitsapgov.com/webappa/index.html?parcelID=1160704&amp;Theme=Imagery","1160704")</f>
        <v>1160704</v>
      </c>
      <c r="G473" s="16" t="s">
        <v>4920</v>
      </c>
      <c r="H473" s="17">
        <v>43097</v>
      </c>
      <c r="I473" s="18">
        <v>436000</v>
      </c>
      <c r="J473" s="19">
        <v>0.01</v>
      </c>
      <c r="K473" s="16" t="s">
        <v>78</v>
      </c>
      <c r="L473" s="16" t="s">
        <v>246</v>
      </c>
      <c r="M473" s="16" t="s">
        <v>4906</v>
      </c>
      <c r="N473" s="16" t="s">
        <v>5639</v>
      </c>
    </row>
    <row r="474" spans="1:14" ht="20.100000000000001" customHeight="1" x14ac:dyDescent="0.25">
      <c r="A474" s="15" t="s">
        <v>5638</v>
      </c>
      <c r="B474" s="16" t="s">
        <v>96</v>
      </c>
      <c r="C474" s="15">
        <v>8100504</v>
      </c>
      <c r="D474" s="16" t="s">
        <v>58</v>
      </c>
      <c r="E474" s="15" t="s">
        <v>4922</v>
      </c>
      <c r="F474" s="21" t="str">
        <f>HYPERLINK("https://psearch.kitsapgov.com/webappa/index.html?parcelID=1160720&amp;Theme=Imagery","1160720")</f>
        <v>1160720</v>
      </c>
      <c r="G474" s="16" t="s">
        <v>4923</v>
      </c>
      <c r="H474" s="17">
        <v>43097</v>
      </c>
      <c r="I474" s="18">
        <v>436000</v>
      </c>
      <c r="J474" s="19">
        <v>0.25</v>
      </c>
      <c r="K474" s="16" t="s">
        <v>78</v>
      </c>
      <c r="L474" s="16" t="s">
        <v>246</v>
      </c>
      <c r="M474" s="16" t="s">
        <v>4906</v>
      </c>
      <c r="N474" s="16" t="s">
        <v>5639</v>
      </c>
    </row>
    <row r="475" spans="1:14" ht="20.100000000000001" customHeight="1" x14ac:dyDescent="0.25">
      <c r="A475" s="15" t="s">
        <v>5638</v>
      </c>
      <c r="B475" s="16" t="s">
        <v>330</v>
      </c>
      <c r="C475" s="15">
        <v>8100504</v>
      </c>
      <c r="D475" s="16" t="s">
        <v>58</v>
      </c>
      <c r="E475" s="15" t="s">
        <v>4924</v>
      </c>
      <c r="F475" s="21" t="str">
        <f>HYPERLINK("https://psearch.kitsapgov.com/webappa/index.html?parcelID=1160753&amp;Theme=Imagery","1160753")</f>
        <v>1160753</v>
      </c>
      <c r="G475" s="16" t="s">
        <v>4925</v>
      </c>
      <c r="H475" s="17">
        <v>43097</v>
      </c>
      <c r="I475" s="18">
        <v>436000</v>
      </c>
      <c r="J475" s="19">
        <v>0.19</v>
      </c>
      <c r="K475" s="16" t="s">
        <v>78</v>
      </c>
      <c r="L475" s="16" t="s">
        <v>246</v>
      </c>
      <c r="M475" s="16" t="s">
        <v>4906</v>
      </c>
      <c r="N475" s="16" t="s">
        <v>5639</v>
      </c>
    </row>
    <row r="476" spans="1:14" ht="20.100000000000001" customHeight="1" x14ac:dyDescent="0.25">
      <c r="A476" s="15" t="s">
        <v>5638</v>
      </c>
      <c r="B476" s="16" t="s">
        <v>330</v>
      </c>
      <c r="C476" s="15">
        <v>8100504</v>
      </c>
      <c r="D476" s="16" t="s">
        <v>58</v>
      </c>
      <c r="E476" s="15" t="s">
        <v>4926</v>
      </c>
      <c r="F476" s="21" t="str">
        <f>HYPERLINK("https://psearch.kitsapgov.com/webappa/index.html?parcelID=1718675&amp;Theme=Imagery","1718675")</f>
        <v>1718675</v>
      </c>
      <c r="G476" s="16" t="s">
        <v>4918</v>
      </c>
      <c r="H476" s="17">
        <v>43097</v>
      </c>
      <c r="I476" s="18">
        <v>436000</v>
      </c>
      <c r="J476" s="19">
        <v>0.08</v>
      </c>
      <c r="K476" s="16" t="s">
        <v>78</v>
      </c>
      <c r="L476" s="16" t="s">
        <v>246</v>
      </c>
      <c r="M476" s="16" t="s">
        <v>4906</v>
      </c>
      <c r="N476" s="16" t="s">
        <v>5639</v>
      </c>
    </row>
    <row r="477" spans="1:14" ht="39.950000000000003" customHeight="1" x14ac:dyDescent="0.25">
      <c r="A477" s="15" t="s">
        <v>5640</v>
      </c>
      <c r="B477" s="16" t="s">
        <v>306</v>
      </c>
      <c r="C477" s="15">
        <v>8100504</v>
      </c>
      <c r="D477" s="16" t="s">
        <v>58</v>
      </c>
      <c r="E477" s="15" t="s">
        <v>4903</v>
      </c>
      <c r="F477" s="21" t="str">
        <f>HYPERLINK("https://psearch.kitsapgov.com/webappa/index.html?parcelID=1160712&amp;Theme=Imagery","1160712")</f>
        <v>1160712</v>
      </c>
      <c r="G477" s="16" t="s">
        <v>4904</v>
      </c>
      <c r="H477" s="17">
        <v>43097</v>
      </c>
      <c r="I477" s="18">
        <v>400000</v>
      </c>
      <c r="J477" s="19">
        <v>0.47</v>
      </c>
      <c r="K477" s="16" t="s">
        <v>78</v>
      </c>
      <c r="L477" s="16" t="s">
        <v>246</v>
      </c>
      <c r="M477" s="16" t="s">
        <v>4906</v>
      </c>
      <c r="N477" s="16" t="s">
        <v>5639</v>
      </c>
    </row>
    <row r="478" spans="1:14" ht="20.100000000000001" customHeight="1" x14ac:dyDescent="0.25">
      <c r="A478" s="15" t="s">
        <v>5640</v>
      </c>
      <c r="B478" s="16" t="s">
        <v>57</v>
      </c>
      <c r="C478" s="15">
        <v>8100504</v>
      </c>
      <c r="D478" s="16" t="s">
        <v>58</v>
      </c>
      <c r="E478" s="15" t="s">
        <v>4907</v>
      </c>
      <c r="F478" s="21" t="str">
        <f>HYPERLINK("https://psearch.kitsapgov.com/webappa/index.html?parcelID=1160746&amp;Theme=Imagery","1160746")</f>
        <v>1160746</v>
      </c>
      <c r="G478" s="16" t="s">
        <v>4908</v>
      </c>
      <c r="H478" s="17">
        <v>43097</v>
      </c>
      <c r="I478" s="18">
        <v>400000</v>
      </c>
      <c r="J478" s="19">
        <v>0.34</v>
      </c>
      <c r="K478" s="16" t="s">
        <v>78</v>
      </c>
      <c r="L478" s="16" t="s">
        <v>246</v>
      </c>
      <c r="M478" s="16" t="s">
        <v>4906</v>
      </c>
      <c r="N478" s="16" t="s">
        <v>5639</v>
      </c>
    </row>
    <row r="479" spans="1:14" ht="20.100000000000001" customHeight="1" x14ac:dyDescent="0.25">
      <c r="A479" s="15" t="s">
        <v>5640</v>
      </c>
      <c r="B479" s="16" t="s">
        <v>57</v>
      </c>
      <c r="C479" s="15">
        <v>7100591</v>
      </c>
      <c r="D479" s="16" t="s">
        <v>4909</v>
      </c>
      <c r="E479" s="15" t="s">
        <v>4910</v>
      </c>
      <c r="F479" s="21" t="str">
        <f>HYPERLINK("https://psearch.kitsapgov.com/webappa/index.html?parcelID=1716943&amp;Theme=Imagery","1716943")</f>
        <v>1716943</v>
      </c>
      <c r="G479" s="16" t="s">
        <v>107</v>
      </c>
      <c r="H479" s="17">
        <v>43097</v>
      </c>
      <c r="I479" s="18">
        <v>400000</v>
      </c>
      <c r="J479" s="19">
        <v>7.0000000000000007E-2</v>
      </c>
      <c r="K479" s="16" t="s">
        <v>108</v>
      </c>
      <c r="L479" s="16" t="s">
        <v>246</v>
      </c>
      <c r="M479" s="16" t="s">
        <v>4906</v>
      </c>
      <c r="N479" s="16" t="s">
        <v>5639</v>
      </c>
    </row>
    <row r="480" spans="1:14" ht="20.100000000000001" customHeight="1" x14ac:dyDescent="0.25">
      <c r="A480" s="15" t="s">
        <v>5640</v>
      </c>
      <c r="B480" s="16" t="s">
        <v>57</v>
      </c>
      <c r="C480" s="15">
        <v>7100591</v>
      </c>
      <c r="D480" s="16" t="s">
        <v>4909</v>
      </c>
      <c r="E480" s="15" t="s">
        <v>4911</v>
      </c>
      <c r="F480" s="21" t="str">
        <f>HYPERLINK("https://psearch.kitsapgov.com/webappa/index.html?parcelID=1716950&amp;Theme=Imagery","1716950")</f>
        <v>1716950</v>
      </c>
      <c r="G480" s="16" t="s">
        <v>107</v>
      </c>
      <c r="H480" s="17">
        <v>43097</v>
      </c>
      <c r="I480" s="18">
        <v>400000</v>
      </c>
      <c r="J480" s="19">
        <v>0.28999999999999998</v>
      </c>
      <c r="K480" s="16" t="s">
        <v>108</v>
      </c>
      <c r="L480" s="16" t="s">
        <v>246</v>
      </c>
      <c r="M480" s="16" t="s">
        <v>4906</v>
      </c>
      <c r="N480" s="16" t="s">
        <v>5639</v>
      </c>
    </row>
    <row r="481" spans="1:14" ht="20.100000000000001" customHeight="1" x14ac:dyDescent="0.25">
      <c r="A481" s="15" t="s">
        <v>5640</v>
      </c>
      <c r="B481" s="16" t="s">
        <v>57</v>
      </c>
      <c r="C481" s="15">
        <v>7100591</v>
      </c>
      <c r="D481" s="16" t="s">
        <v>4909</v>
      </c>
      <c r="E481" s="15" t="s">
        <v>4912</v>
      </c>
      <c r="F481" s="21" t="str">
        <f>HYPERLINK("https://psearch.kitsapgov.com/webappa/index.html?parcelID=1718048&amp;Theme=Imagery","1718048")</f>
        <v>1718048</v>
      </c>
      <c r="G481" s="16" t="s">
        <v>107</v>
      </c>
      <c r="H481" s="17">
        <v>43097</v>
      </c>
      <c r="I481" s="18">
        <v>400000</v>
      </c>
      <c r="J481" s="19">
        <v>0.4</v>
      </c>
      <c r="K481" s="16" t="s">
        <v>108</v>
      </c>
      <c r="L481" s="16" t="s">
        <v>246</v>
      </c>
      <c r="M481" s="16" t="s">
        <v>4906</v>
      </c>
      <c r="N481" s="16" t="s">
        <v>5639</v>
      </c>
    </row>
    <row r="482" spans="1:14" ht="20.100000000000001" customHeight="1" x14ac:dyDescent="0.25">
      <c r="A482" s="15" t="s">
        <v>5640</v>
      </c>
      <c r="B482" s="16" t="s">
        <v>57</v>
      </c>
      <c r="C482" s="15">
        <v>7100591</v>
      </c>
      <c r="D482" s="16" t="s">
        <v>4909</v>
      </c>
      <c r="E482" s="15" t="s">
        <v>4913</v>
      </c>
      <c r="F482" s="21" t="str">
        <f>HYPERLINK("https://psearch.kitsapgov.com/webappa/index.html?parcelID=1718642&amp;Theme=Imagery","1718642")</f>
        <v>1718642</v>
      </c>
      <c r="G482" s="16" t="s">
        <v>107</v>
      </c>
      <c r="H482" s="17">
        <v>43097</v>
      </c>
      <c r="I482" s="18">
        <v>400000</v>
      </c>
      <c r="J482" s="19">
        <v>0.12</v>
      </c>
      <c r="K482" s="16" t="s">
        <v>108</v>
      </c>
      <c r="L482" s="16" t="s">
        <v>246</v>
      </c>
      <c r="M482" s="16" t="s">
        <v>4906</v>
      </c>
      <c r="N482" s="16" t="s">
        <v>5639</v>
      </c>
    </row>
    <row r="483" spans="1:14" ht="20.100000000000001" customHeight="1" x14ac:dyDescent="0.25">
      <c r="A483" s="15" t="s">
        <v>5640</v>
      </c>
      <c r="B483" s="16" t="s">
        <v>57</v>
      </c>
      <c r="C483" s="15">
        <v>7100591</v>
      </c>
      <c r="D483" s="16" t="s">
        <v>4909</v>
      </c>
      <c r="E483" s="15" t="s">
        <v>4914</v>
      </c>
      <c r="F483" s="21" t="str">
        <f>HYPERLINK("https://psearch.kitsapgov.com/webappa/index.html?parcelID=1718659&amp;Theme=Imagery","1718659")</f>
        <v>1718659</v>
      </c>
      <c r="G483" s="16" t="s">
        <v>107</v>
      </c>
      <c r="H483" s="17">
        <v>43097</v>
      </c>
      <c r="I483" s="18">
        <v>400000</v>
      </c>
      <c r="J483" s="19">
        <v>0.15</v>
      </c>
      <c r="K483" s="16" t="s">
        <v>108</v>
      </c>
      <c r="L483" s="16" t="s">
        <v>246</v>
      </c>
      <c r="M483" s="16" t="s">
        <v>4906</v>
      </c>
      <c r="N483" s="16" t="s">
        <v>5639</v>
      </c>
    </row>
    <row r="484" spans="1:14" ht="20.100000000000001" customHeight="1" x14ac:dyDescent="0.25">
      <c r="A484" s="15" t="s">
        <v>5640</v>
      </c>
      <c r="B484" s="16" t="s">
        <v>57</v>
      </c>
      <c r="C484" s="15">
        <v>7100591</v>
      </c>
      <c r="D484" s="16" t="s">
        <v>4909</v>
      </c>
      <c r="E484" s="15" t="s">
        <v>4915</v>
      </c>
      <c r="F484" s="21" t="str">
        <f>HYPERLINK("https://psearch.kitsapgov.com/webappa/index.html?parcelID=1718667&amp;Theme=Imagery","1718667")</f>
        <v>1718667</v>
      </c>
      <c r="G484" s="16" t="s">
        <v>107</v>
      </c>
      <c r="H484" s="17">
        <v>43097</v>
      </c>
      <c r="I484" s="18">
        <v>400000</v>
      </c>
      <c r="J484" s="19">
        <v>0.16</v>
      </c>
      <c r="K484" s="16" t="s">
        <v>108</v>
      </c>
      <c r="L484" s="16" t="s">
        <v>246</v>
      </c>
      <c r="M484" s="16" t="s">
        <v>4906</v>
      </c>
      <c r="N484" s="16" t="s">
        <v>5639</v>
      </c>
    </row>
    <row r="485" spans="1:14" ht="39.950000000000003" customHeight="1" x14ac:dyDescent="0.25">
      <c r="A485" s="15" t="s">
        <v>5641</v>
      </c>
      <c r="B485" s="16" t="s">
        <v>66</v>
      </c>
      <c r="C485" s="15">
        <v>8400204</v>
      </c>
      <c r="D485" s="16" t="s">
        <v>178</v>
      </c>
      <c r="E485" s="15" t="s">
        <v>5642</v>
      </c>
      <c r="F485" s="21" t="str">
        <f>HYPERLINK("https://psearch.kitsapgov.com/webappa/index.html?parcelID=2104388&amp;Theme=Imagery","2104388")</f>
        <v>2104388</v>
      </c>
      <c r="G485" s="16" t="s">
        <v>5643</v>
      </c>
      <c r="H485" s="17">
        <v>43096</v>
      </c>
      <c r="I485" s="18">
        <v>6000000</v>
      </c>
      <c r="J485" s="19">
        <v>0.56000000000000005</v>
      </c>
      <c r="K485" s="16" t="s">
        <v>181</v>
      </c>
      <c r="L485" s="16" t="s">
        <v>4656</v>
      </c>
      <c r="M485" s="16" t="s">
        <v>5644</v>
      </c>
      <c r="N485" s="16" t="s">
        <v>5645</v>
      </c>
    </row>
    <row r="486" spans="1:14" ht="20.100000000000001" customHeight="1" x14ac:dyDescent="0.25">
      <c r="A486" s="15" t="s">
        <v>5641</v>
      </c>
      <c r="B486" s="16" t="s">
        <v>66</v>
      </c>
      <c r="C486" s="15">
        <v>8400204</v>
      </c>
      <c r="D486" s="16" t="s">
        <v>178</v>
      </c>
      <c r="E486" s="15" t="s">
        <v>5646</v>
      </c>
      <c r="F486" s="21" t="str">
        <f>HYPERLINK("https://psearch.kitsapgov.com/webappa/index.html?parcelID=2104396&amp;Theme=Imagery","2104396")</f>
        <v>2104396</v>
      </c>
      <c r="G486" s="16" t="s">
        <v>5647</v>
      </c>
      <c r="H486" s="17">
        <v>43096</v>
      </c>
      <c r="I486" s="18">
        <v>6000000</v>
      </c>
      <c r="J486" s="19">
        <v>0.72</v>
      </c>
      <c r="K486" s="16" t="s">
        <v>181</v>
      </c>
      <c r="L486" s="16" t="s">
        <v>4656</v>
      </c>
      <c r="M486" s="16" t="s">
        <v>5644</v>
      </c>
      <c r="N486" s="16" t="s">
        <v>5645</v>
      </c>
    </row>
    <row r="487" spans="1:14" ht="20.100000000000001" customHeight="1" x14ac:dyDescent="0.25">
      <c r="A487" s="15" t="s">
        <v>5641</v>
      </c>
      <c r="B487" s="16" t="s">
        <v>66</v>
      </c>
      <c r="C487" s="15">
        <v>8400204</v>
      </c>
      <c r="D487" s="16" t="s">
        <v>178</v>
      </c>
      <c r="E487" s="15" t="s">
        <v>5648</v>
      </c>
      <c r="F487" s="21" t="str">
        <f>HYPERLINK("https://psearch.kitsapgov.com/webappa/index.html?parcelID=2324549&amp;Theme=Imagery","2324549")</f>
        <v>2324549</v>
      </c>
      <c r="G487" s="16" t="s">
        <v>5649</v>
      </c>
      <c r="H487" s="17">
        <v>43096</v>
      </c>
      <c r="I487" s="18">
        <v>6000000</v>
      </c>
      <c r="J487" s="19">
        <v>0.56000000000000005</v>
      </c>
      <c r="K487" s="16" t="s">
        <v>181</v>
      </c>
      <c r="L487" s="16" t="s">
        <v>4656</v>
      </c>
      <c r="M487" s="16" t="s">
        <v>5644</v>
      </c>
      <c r="N487" s="16" t="s">
        <v>5645</v>
      </c>
    </row>
    <row r="488" spans="1:14" ht="20.100000000000001" customHeight="1" x14ac:dyDescent="0.25">
      <c r="A488" s="15" t="s">
        <v>5641</v>
      </c>
      <c r="B488" s="16" t="s">
        <v>66</v>
      </c>
      <c r="C488" s="15">
        <v>8400204</v>
      </c>
      <c r="D488" s="16" t="s">
        <v>178</v>
      </c>
      <c r="E488" s="15" t="s">
        <v>5650</v>
      </c>
      <c r="F488" s="21" t="str">
        <f>HYPERLINK("https://psearch.kitsapgov.com/webappa/index.html?parcelID=2324556&amp;Theme=Imagery","2324556")</f>
        <v>2324556</v>
      </c>
      <c r="G488" s="16" t="s">
        <v>5651</v>
      </c>
      <c r="H488" s="17">
        <v>43096</v>
      </c>
      <c r="I488" s="18">
        <v>6000000</v>
      </c>
      <c r="J488" s="19">
        <v>0.28000000000000003</v>
      </c>
      <c r="K488" s="16" t="s">
        <v>181</v>
      </c>
      <c r="L488" s="16" t="s">
        <v>4656</v>
      </c>
      <c r="M488" s="16" t="s">
        <v>5644</v>
      </c>
      <c r="N488" s="16" t="s">
        <v>5645</v>
      </c>
    </row>
    <row r="489" spans="1:14" ht="39.950000000000003" customHeight="1" x14ac:dyDescent="0.25">
      <c r="A489" s="15" t="s">
        <v>5652</v>
      </c>
      <c r="B489" s="16" t="s">
        <v>704</v>
      </c>
      <c r="C489" s="15">
        <v>9402390</v>
      </c>
      <c r="D489" s="16" t="s">
        <v>271</v>
      </c>
      <c r="E489" s="15" t="s">
        <v>5653</v>
      </c>
      <c r="F489" s="21" t="str">
        <f>HYPERLINK("https://psearch.kitsapgov.com/webappa/index.html?parcelID=1967041&amp;Theme=Imagery","1967041")</f>
        <v>1967041</v>
      </c>
      <c r="G489" s="16" t="s">
        <v>5654</v>
      </c>
      <c r="H489" s="17">
        <v>42948</v>
      </c>
      <c r="I489" s="18">
        <v>15000</v>
      </c>
      <c r="J489" s="19">
        <v>11.77</v>
      </c>
      <c r="K489" s="16" t="s">
        <v>108</v>
      </c>
      <c r="L489" s="16" t="s">
        <v>4338</v>
      </c>
      <c r="M489" s="16" t="s">
        <v>5655</v>
      </c>
      <c r="N489" s="16" t="s">
        <v>5656</v>
      </c>
    </row>
    <row r="490" spans="1:14" ht="20.100000000000001" customHeight="1" x14ac:dyDescent="0.25">
      <c r="A490" s="15" t="s">
        <v>5652</v>
      </c>
      <c r="B490" s="16" t="s">
        <v>4745</v>
      </c>
      <c r="C490" s="15">
        <v>7402390</v>
      </c>
      <c r="D490" s="16" t="s">
        <v>5657</v>
      </c>
      <c r="E490" s="15" t="s">
        <v>5658</v>
      </c>
      <c r="F490" s="21" t="str">
        <f>HYPERLINK("https://psearch.kitsapgov.com/webappa/index.html?parcelID=2617728&amp;Theme=Imagery","2617728")</f>
        <v>2617728</v>
      </c>
      <c r="G490" s="16" t="s">
        <v>107</v>
      </c>
      <c r="H490" s="17">
        <v>42948</v>
      </c>
      <c r="I490" s="18">
        <v>15000</v>
      </c>
      <c r="J490" s="19">
        <v>0</v>
      </c>
      <c r="L490" s="16" t="s">
        <v>20</v>
      </c>
      <c r="M490" s="16" t="s">
        <v>5655</v>
      </c>
      <c r="N490" s="16" t="s">
        <v>5656</v>
      </c>
    </row>
    <row r="491" spans="1:14" ht="39.950000000000003" customHeight="1" x14ac:dyDescent="0.25">
      <c r="A491" s="15" t="s">
        <v>5659</v>
      </c>
      <c r="B491" s="16" t="s">
        <v>1031</v>
      </c>
      <c r="C491" s="15">
        <v>8100505</v>
      </c>
      <c r="D491" s="16" t="s">
        <v>17</v>
      </c>
      <c r="E491" s="15" t="s">
        <v>5660</v>
      </c>
      <c r="F491" s="21" t="str">
        <f>HYPERLINK("https://psearch.kitsapgov.com/webappa/index.html?parcelID=1490523&amp;Theme=Imagery","1490523")</f>
        <v>1490523</v>
      </c>
      <c r="G491" s="16" t="s">
        <v>5661</v>
      </c>
      <c r="H491" s="17">
        <v>43090</v>
      </c>
      <c r="I491" s="18">
        <v>829000</v>
      </c>
      <c r="J491" s="19">
        <v>3.33</v>
      </c>
      <c r="K491" s="16" t="s">
        <v>457</v>
      </c>
      <c r="L491" s="16" t="s">
        <v>174</v>
      </c>
      <c r="M491" s="16" t="s">
        <v>5662</v>
      </c>
      <c r="N491" s="16" t="s">
        <v>5663</v>
      </c>
    </row>
    <row r="492" spans="1:14" ht="20.100000000000001" customHeight="1" x14ac:dyDescent="0.25">
      <c r="A492" s="15" t="s">
        <v>5659</v>
      </c>
      <c r="B492" s="16" t="s">
        <v>330</v>
      </c>
      <c r="C492" s="15">
        <v>8100505</v>
      </c>
      <c r="D492" s="16" t="s">
        <v>17</v>
      </c>
      <c r="E492" s="15" t="s">
        <v>5664</v>
      </c>
      <c r="F492" s="21" t="str">
        <f>HYPERLINK("https://psearch.kitsapgov.com/webappa/index.html?parcelID=1490531&amp;Theme=Imagery","1490531")</f>
        <v>1490531</v>
      </c>
      <c r="G492" s="16" t="s">
        <v>5665</v>
      </c>
      <c r="H492" s="17">
        <v>43090</v>
      </c>
      <c r="I492" s="18">
        <v>829000</v>
      </c>
      <c r="J492" s="19">
        <v>0.83</v>
      </c>
      <c r="K492" s="16" t="s">
        <v>457</v>
      </c>
      <c r="L492" s="16" t="s">
        <v>174</v>
      </c>
      <c r="M492" s="16" t="s">
        <v>5662</v>
      </c>
      <c r="N492" s="16" t="s">
        <v>5663</v>
      </c>
    </row>
    <row r="493" spans="1:14" ht="39.950000000000003" customHeight="1" x14ac:dyDescent="0.25">
      <c r="A493" s="15" t="s">
        <v>5666</v>
      </c>
      <c r="B493" s="16" t="s">
        <v>49</v>
      </c>
      <c r="C493" s="15">
        <v>8401101</v>
      </c>
      <c r="D493" s="16" t="s">
        <v>185</v>
      </c>
      <c r="E493" s="15" t="s">
        <v>5202</v>
      </c>
      <c r="F493" s="21" t="str">
        <f>HYPERLINK("https://psearch.kitsapgov.com/webappa/index.html?parcelID=2512887&amp;Theme=Imagery","2512887")</f>
        <v>2512887</v>
      </c>
      <c r="G493" s="16" t="s">
        <v>5203</v>
      </c>
      <c r="H493" s="17">
        <v>43102</v>
      </c>
      <c r="I493" s="18">
        <v>4000000</v>
      </c>
      <c r="J493" s="19">
        <v>5.32</v>
      </c>
      <c r="K493" s="16" t="s">
        <v>78</v>
      </c>
      <c r="L493" s="16" t="s">
        <v>4645</v>
      </c>
      <c r="M493" s="16" t="s">
        <v>1928</v>
      </c>
      <c r="N493" s="16" t="s">
        <v>5667</v>
      </c>
    </row>
    <row r="494" spans="1:14" ht="20.100000000000001" customHeight="1" x14ac:dyDescent="0.25">
      <c r="A494" s="15" t="s">
        <v>5666</v>
      </c>
      <c r="B494" s="16" t="s">
        <v>49</v>
      </c>
      <c r="C494" s="15">
        <v>8401101</v>
      </c>
      <c r="D494" s="16" t="s">
        <v>185</v>
      </c>
      <c r="E494" s="15" t="s">
        <v>5204</v>
      </c>
      <c r="F494" s="21" t="str">
        <f>HYPERLINK("https://psearch.kitsapgov.com/webappa/index.html?parcelID=2512895&amp;Theme=Imagery","2512895")</f>
        <v>2512895</v>
      </c>
      <c r="G494" s="16" t="s">
        <v>5205</v>
      </c>
      <c r="H494" s="17">
        <v>43102</v>
      </c>
      <c r="I494" s="18">
        <v>4000000</v>
      </c>
      <c r="J494" s="19">
        <v>3.56</v>
      </c>
      <c r="K494" s="16" t="s">
        <v>78</v>
      </c>
      <c r="L494" s="16" t="s">
        <v>4645</v>
      </c>
      <c r="M494" s="16" t="s">
        <v>1928</v>
      </c>
      <c r="N494" s="16" t="s">
        <v>5667</v>
      </c>
    </row>
    <row r="495" spans="1:14" ht="39.950000000000003" customHeight="1" x14ac:dyDescent="0.25">
      <c r="A495" s="15" t="s">
        <v>5668</v>
      </c>
      <c r="B495" s="16" t="s">
        <v>57</v>
      </c>
      <c r="C495" s="15">
        <v>8100502</v>
      </c>
      <c r="D495" s="16" t="s">
        <v>67</v>
      </c>
      <c r="E495" s="15" t="s">
        <v>5669</v>
      </c>
      <c r="F495" s="21" t="str">
        <f>HYPERLINK("https://psearch.kitsapgov.com/webappa/index.html?parcelID=1713981&amp;Theme=Imagery","1713981")</f>
        <v>1713981</v>
      </c>
      <c r="G495" s="16" t="s">
        <v>5670</v>
      </c>
      <c r="H495" s="17">
        <v>43102</v>
      </c>
      <c r="I495" s="18">
        <v>715000</v>
      </c>
      <c r="J495" s="19">
        <v>6.67</v>
      </c>
      <c r="K495" s="16" t="s">
        <v>70</v>
      </c>
      <c r="L495" s="16" t="s">
        <v>4645</v>
      </c>
      <c r="M495" s="16" t="s">
        <v>5671</v>
      </c>
      <c r="N495" s="16" t="s">
        <v>5672</v>
      </c>
    </row>
    <row r="496" spans="1:14" ht="20.100000000000001" customHeight="1" x14ac:dyDescent="0.25">
      <c r="A496" s="15" t="s">
        <v>5668</v>
      </c>
      <c r="B496" s="16" t="s">
        <v>57</v>
      </c>
      <c r="C496" s="15">
        <v>8100502</v>
      </c>
      <c r="D496" s="16" t="s">
        <v>67</v>
      </c>
      <c r="E496" s="15" t="s">
        <v>5673</v>
      </c>
      <c r="F496" s="21" t="str">
        <f>HYPERLINK("https://psearch.kitsapgov.com/webappa/index.html?parcelID=1713999&amp;Theme=Imagery","1713999")</f>
        <v>1713999</v>
      </c>
      <c r="G496" s="16" t="s">
        <v>5670</v>
      </c>
      <c r="H496" s="17">
        <v>43102</v>
      </c>
      <c r="I496" s="18">
        <v>715000</v>
      </c>
      <c r="J496" s="19">
        <v>0.45</v>
      </c>
      <c r="K496" s="16" t="s">
        <v>70</v>
      </c>
      <c r="L496" s="16" t="s">
        <v>4645</v>
      </c>
      <c r="M496" s="16" t="s">
        <v>5671</v>
      </c>
      <c r="N496" s="16" t="s">
        <v>5672</v>
      </c>
    </row>
    <row r="497" spans="1:14" ht="20.100000000000001" customHeight="1" x14ac:dyDescent="0.25">
      <c r="A497" s="15" t="s">
        <v>5668</v>
      </c>
      <c r="B497" s="16" t="s">
        <v>57</v>
      </c>
      <c r="C497" s="15">
        <v>8100502</v>
      </c>
      <c r="D497" s="16" t="s">
        <v>67</v>
      </c>
      <c r="E497" s="15" t="s">
        <v>5674</v>
      </c>
      <c r="F497" s="21" t="str">
        <f>HYPERLINK("https://psearch.kitsapgov.com/webappa/index.html?parcelID=1714005&amp;Theme=Imagery","1714005")</f>
        <v>1714005</v>
      </c>
      <c r="G497" s="16" t="s">
        <v>5670</v>
      </c>
      <c r="H497" s="17">
        <v>43102</v>
      </c>
      <c r="I497" s="18">
        <v>715000</v>
      </c>
      <c r="J497" s="19">
        <v>0.08</v>
      </c>
      <c r="K497" s="16" t="s">
        <v>70</v>
      </c>
      <c r="L497" s="16" t="s">
        <v>4645</v>
      </c>
      <c r="M497" s="16" t="s">
        <v>5671</v>
      </c>
      <c r="N497" s="16" t="s">
        <v>5672</v>
      </c>
    </row>
    <row r="498" spans="1:14" ht="20.100000000000001" customHeight="1" x14ac:dyDescent="0.25">
      <c r="A498" s="15" t="s">
        <v>5668</v>
      </c>
      <c r="B498" s="16" t="s">
        <v>57</v>
      </c>
      <c r="C498" s="15">
        <v>8100502</v>
      </c>
      <c r="D498" s="16" t="s">
        <v>67</v>
      </c>
      <c r="E498" s="15" t="s">
        <v>5675</v>
      </c>
      <c r="F498" s="21" t="str">
        <f>HYPERLINK("https://psearch.kitsapgov.com/webappa/index.html?parcelID=1714013&amp;Theme=Imagery","1714013")</f>
        <v>1714013</v>
      </c>
      <c r="G498" s="16" t="s">
        <v>5670</v>
      </c>
      <c r="H498" s="17">
        <v>43102</v>
      </c>
      <c r="I498" s="18">
        <v>715000</v>
      </c>
      <c r="J498" s="19">
        <v>0.75</v>
      </c>
      <c r="K498" s="16" t="s">
        <v>70</v>
      </c>
      <c r="L498" s="16" t="s">
        <v>4645</v>
      </c>
      <c r="M498" s="16" t="s">
        <v>5671</v>
      </c>
      <c r="N498" s="16" t="s">
        <v>5672</v>
      </c>
    </row>
    <row r="499" spans="1:14" ht="20.100000000000001" customHeight="1" x14ac:dyDescent="0.25">
      <c r="A499" s="15" t="s">
        <v>5668</v>
      </c>
      <c r="B499" s="16" t="s">
        <v>57</v>
      </c>
      <c r="C499" s="15">
        <v>8100502</v>
      </c>
      <c r="D499" s="16" t="s">
        <v>67</v>
      </c>
      <c r="E499" s="15" t="s">
        <v>5676</v>
      </c>
      <c r="F499" s="21" t="str">
        <f>HYPERLINK("https://psearch.kitsapgov.com/webappa/index.html?parcelID=1714021&amp;Theme=Imagery","1714021")</f>
        <v>1714021</v>
      </c>
      <c r="G499" s="16" t="s">
        <v>5677</v>
      </c>
      <c r="H499" s="17">
        <v>43102</v>
      </c>
      <c r="I499" s="18">
        <v>715000</v>
      </c>
      <c r="J499" s="19">
        <v>0.15</v>
      </c>
      <c r="K499" s="16" t="s">
        <v>70</v>
      </c>
      <c r="L499" s="16" t="s">
        <v>4645</v>
      </c>
      <c r="M499" s="16" t="s">
        <v>5671</v>
      </c>
      <c r="N499" s="16" t="s">
        <v>5672</v>
      </c>
    </row>
    <row r="500" spans="1:14" ht="20.100000000000001" customHeight="1" x14ac:dyDescent="0.25">
      <c r="A500" s="15" t="s">
        <v>5668</v>
      </c>
      <c r="B500" s="16" t="s">
        <v>57</v>
      </c>
      <c r="C500" s="15">
        <v>8100502</v>
      </c>
      <c r="D500" s="16" t="s">
        <v>67</v>
      </c>
      <c r="E500" s="15" t="s">
        <v>5678</v>
      </c>
      <c r="F500" s="21" t="str">
        <f>HYPERLINK("https://psearch.kitsapgov.com/webappa/index.html?parcelID=1714039&amp;Theme=Imagery","1714039")</f>
        <v>1714039</v>
      </c>
      <c r="G500" s="16" t="s">
        <v>5679</v>
      </c>
      <c r="H500" s="17">
        <v>43102</v>
      </c>
      <c r="I500" s="18">
        <v>715000</v>
      </c>
      <c r="J500" s="19">
        <v>0.08</v>
      </c>
      <c r="K500" s="16" t="s">
        <v>70</v>
      </c>
      <c r="L500" s="16" t="s">
        <v>4645</v>
      </c>
      <c r="M500" s="16" t="s">
        <v>5671</v>
      </c>
      <c r="N500" s="16" t="s">
        <v>5672</v>
      </c>
    </row>
    <row r="501" spans="1:14" ht="20.100000000000001" customHeight="1" x14ac:dyDescent="0.25">
      <c r="A501" s="15" t="s">
        <v>5668</v>
      </c>
      <c r="B501" s="16" t="s">
        <v>57</v>
      </c>
      <c r="C501" s="15">
        <v>8100502</v>
      </c>
      <c r="D501" s="16" t="s">
        <v>67</v>
      </c>
      <c r="E501" s="15" t="s">
        <v>5680</v>
      </c>
      <c r="F501" s="21" t="str">
        <f>HYPERLINK("https://psearch.kitsapgov.com/webappa/index.html?parcelID=1714047&amp;Theme=Imagery","1714047")</f>
        <v>1714047</v>
      </c>
      <c r="G501" s="16" t="s">
        <v>5670</v>
      </c>
      <c r="H501" s="17">
        <v>43102</v>
      </c>
      <c r="I501" s="18">
        <v>715000</v>
      </c>
      <c r="J501" s="19">
        <v>0.15</v>
      </c>
      <c r="K501" s="16" t="s">
        <v>70</v>
      </c>
      <c r="L501" s="16" t="s">
        <v>4645</v>
      </c>
      <c r="M501" s="16" t="s">
        <v>5671</v>
      </c>
      <c r="N501" s="16" t="s">
        <v>5672</v>
      </c>
    </row>
    <row r="502" spans="1:14" ht="20.100000000000001" customHeight="1" x14ac:dyDescent="0.25">
      <c r="A502" s="15" t="s">
        <v>5668</v>
      </c>
      <c r="B502" s="16" t="s">
        <v>57</v>
      </c>
      <c r="C502" s="15">
        <v>8100502</v>
      </c>
      <c r="D502" s="16" t="s">
        <v>67</v>
      </c>
      <c r="E502" s="15" t="s">
        <v>5681</v>
      </c>
      <c r="F502" s="21" t="str">
        <f>HYPERLINK("https://psearch.kitsapgov.com/webappa/index.html?parcelID=1714054&amp;Theme=Imagery","1714054")</f>
        <v>1714054</v>
      </c>
      <c r="G502" s="16" t="s">
        <v>5670</v>
      </c>
      <c r="H502" s="17">
        <v>43102</v>
      </c>
      <c r="I502" s="18">
        <v>715000</v>
      </c>
      <c r="J502" s="19">
        <v>0.17</v>
      </c>
      <c r="K502" s="16" t="s">
        <v>70</v>
      </c>
      <c r="L502" s="16" t="s">
        <v>4645</v>
      </c>
      <c r="M502" s="16" t="s">
        <v>5671</v>
      </c>
      <c r="N502" s="16" t="s">
        <v>5672</v>
      </c>
    </row>
    <row r="503" spans="1:14" ht="20.100000000000001" customHeight="1" x14ac:dyDescent="0.25">
      <c r="A503" s="15" t="s">
        <v>5668</v>
      </c>
      <c r="B503" s="16" t="s">
        <v>57</v>
      </c>
      <c r="C503" s="15">
        <v>8100502</v>
      </c>
      <c r="D503" s="16" t="s">
        <v>67</v>
      </c>
      <c r="E503" s="15" t="s">
        <v>5682</v>
      </c>
      <c r="F503" s="21" t="str">
        <f>HYPERLINK("https://psearch.kitsapgov.com/webappa/index.html?parcelID=1714062&amp;Theme=Imagery","1714062")</f>
        <v>1714062</v>
      </c>
      <c r="G503" s="16" t="s">
        <v>5670</v>
      </c>
      <c r="H503" s="17">
        <v>43102</v>
      </c>
      <c r="I503" s="18">
        <v>715000</v>
      </c>
      <c r="J503" s="19">
        <v>0.08</v>
      </c>
      <c r="K503" s="16" t="s">
        <v>70</v>
      </c>
      <c r="L503" s="16" t="s">
        <v>4645</v>
      </c>
      <c r="M503" s="16" t="s">
        <v>5671</v>
      </c>
      <c r="N503" s="16" t="s">
        <v>5672</v>
      </c>
    </row>
    <row r="504" spans="1:14" ht="20.100000000000001" customHeight="1" x14ac:dyDescent="0.25">
      <c r="A504" s="15" t="s">
        <v>5668</v>
      </c>
      <c r="B504" s="16" t="s">
        <v>57</v>
      </c>
      <c r="C504" s="15">
        <v>8100502</v>
      </c>
      <c r="D504" s="16" t="s">
        <v>67</v>
      </c>
      <c r="E504" s="15" t="s">
        <v>5683</v>
      </c>
      <c r="F504" s="21" t="str">
        <f>HYPERLINK("https://psearch.kitsapgov.com/webappa/index.html?parcelID=1714070&amp;Theme=Imagery","1714070")</f>
        <v>1714070</v>
      </c>
      <c r="G504" s="16" t="s">
        <v>5670</v>
      </c>
      <c r="H504" s="17">
        <v>43102</v>
      </c>
      <c r="I504" s="18">
        <v>715000</v>
      </c>
      <c r="J504" s="19">
        <v>0.38</v>
      </c>
      <c r="K504" s="16" t="s">
        <v>70</v>
      </c>
      <c r="L504" s="16" t="s">
        <v>4645</v>
      </c>
      <c r="M504" s="16" t="s">
        <v>5671</v>
      </c>
      <c r="N504" s="16" t="s">
        <v>5672</v>
      </c>
    </row>
    <row r="505" spans="1:14" ht="20.100000000000001" customHeight="1" x14ac:dyDescent="0.25">
      <c r="A505" s="15" t="s">
        <v>5668</v>
      </c>
      <c r="B505" s="16" t="s">
        <v>57</v>
      </c>
      <c r="C505" s="15">
        <v>8100502</v>
      </c>
      <c r="D505" s="16" t="s">
        <v>67</v>
      </c>
      <c r="E505" s="15" t="s">
        <v>5684</v>
      </c>
      <c r="F505" s="21" t="str">
        <f>HYPERLINK("https://psearch.kitsapgov.com/webappa/index.html?parcelID=1714088&amp;Theme=Imagery","1714088")</f>
        <v>1714088</v>
      </c>
      <c r="G505" s="16" t="s">
        <v>5670</v>
      </c>
      <c r="H505" s="17">
        <v>43102</v>
      </c>
      <c r="I505" s="18">
        <v>715000</v>
      </c>
      <c r="J505" s="19">
        <v>0.08</v>
      </c>
      <c r="K505" s="16" t="s">
        <v>70</v>
      </c>
      <c r="L505" s="16" t="s">
        <v>4645</v>
      </c>
      <c r="M505" s="16" t="s">
        <v>5671</v>
      </c>
      <c r="N505" s="16" t="s">
        <v>5672</v>
      </c>
    </row>
    <row r="506" spans="1:14" ht="20.100000000000001" customHeight="1" x14ac:dyDescent="0.25">
      <c r="A506" s="15" t="s">
        <v>5668</v>
      </c>
      <c r="B506" s="16" t="s">
        <v>57</v>
      </c>
      <c r="C506" s="15">
        <v>8100502</v>
      </c>
      <c r="D506" s="16" t="s">
        <v>67</v>
      </c>
      <c r="E506" s="15" t="s">
        <v>5685</v>
      </c>
      <c r="F506" s="21" t="str">
        <f>HYPERLINK("https://psearch.kitsapgov.com/webappa/index.html?parcelID=1714096&amp;Theme=Imagery","1714096")</f>
        <v>1714096</v>
      </c>
      <c r="G506" s="16" t="s">
        <v>5670</v>
      </c>
      <c r="H506" s="17">
        <v>43102</v>
      </c>
      <c r="I506" s="18">
        <v>715000</v>
      </c>
      <c r="J506" s="19">
        <v>0.3</v>
      </c>
      <c r="K506" s="16" t="s">
        <v>70</v>
      </c>
      <c r="L506" s="16" t="s">
        <v>4645</v>
      </c>
      <c r="M506" s="16" t="s">
        <v>5671</v>
      </c>
      <c r="N506" s="16" t="s">
        <v>5672</v>
      </c>
    </row>
    <row r="507" spans="1:14" ht="20.100000000000001" customHeight="1" x14ac:dyDescent="0.25">
      <c r="A507" s="15" t="s">
        <v>5668</v>
      </c>
      <c r="B507" s="16" t="s">
        <v>57</v>
      </c>
      <c r="C507" s="15">
        <v>8100502</v>
      </c>
      <c r="D507" s="16" t="s">
        <v>67</v>
      </c>
      <c r="E507" s="15" t="s">
        <v>5686</v>
      </c>
      <c r="F507" s="21" t="str">
        <f>HYPERLINK("https://psearch.kitsapgov.com/webappa/index.html?parcelID=1714112&amp;Theme=Imagery","1714112")</f>
        <v>1714112</v>
      </c>
      <c r="G507" s="16" t="s">
        <v>5670</v>
      </c>
      <c r="H507" s="17">
        <v>43102</v>
      </c>
      <c r="I507" s="18">
        <v>715000</v>
      </c>
      <c r="J507" s="19">
        <v>0.38</v>
      </c>
      <c r="K507" s="16" t="s">
        <v>70</v>
      </c>
      <c r="L507" s="16" t="s">
        <v>4645</v>
      </c>
      <c r="M507" s="16" t="s">
        <v>5671</v>
      </c>
      <c r="N507" s="16" t="s">
        <v>5672</v>
      </c>
    </row>
    <row r="508" spans="1:14" ht="20.100000000000001" customHeight="1" x14ac:dyDescent="0.25">
      <c r="A508" s="15" t="s">
        <v>5668</v>
      </c>
      <c r="B508" s="16" t="s">
        <v>57</v>
      </c>
      <c r="C508" s="15">
        <v>8100502</v>
      </c>
      <c r="D508" s="16" t="s">
        <v>67</v>
      </c>
      <c r="E508" s="15" t="s">
        <v>5687</v>
      </c>
      <c r="F508" s="21" t="str">
        <f>HYPERLINK("https://psearch.kitsapgov.com/webappa/index.html?parcelID=1714120&amp;Theme=Imagery","1714120")</f>
        <v>1714120</v>
      </c>
      <c r="G508" s="16" t="s">
        <v>5688</v>
      </c>
      <c r="H508" s="17">
        <v>43102</v>
      </c>
      <c r="I508" s="18">
        <v>715000</v>
      </c>
      <c r="J508" s="19">
        <v>0.48</v>
      </c>
      <c r="K508" s="16" t="s">
        <v>70</v>
      </c>
      <c r="L508" s="16" t="s">
        <v>4645</v>
      </c>
      <c r="M508" s="16" t="s">
        <v>5671</v>
      </c>
      <c r="N508" s="16" t="s">
        <v>5672</v>
      </c>
    </row>
    <row r="509" spans="1:14" ht="20.100000000000001" customHeight="1" x14ac:dyDescent="0.25">
      <c r="A509" s="15" t="s">
        <v>5668</v>
      </c>
      <c r="B509" s="16" t="s">
        <v>57</v>
      </c>
      <c r="C509" s="15">
        <v>8100502</v>
      </c>
      <c r="D509" s="16" t="s">
        <v>67</v>
      </c>
      <c r="E509" s="15" t="s">
        <v>5689</v>
      </c>
      <c r="F509" s="21" t="str">
        <f>HYPERLINK("https://psearch.kitsapgov.com/webappa/index.html?parcelID=2466076&amp;Theme=Imagery","2466076")</f>
        <v>2466076</v>
      </c>
      <c r="G509" s="16" t="s">
        <v>5670</v>
      </c>
      <c r="H509" s="17">
        <v>43102</v>
      </c>
      <c r="I509" s="18">
        <v>715000</v>
      </c>
      <c r="J509" s="19">
        <v>0.08</v>
      </c>
      <c r="K509" s="16" t="s">
        <v>70</v>
      </c>
      <c r="L509" s="16" t="s">
        <v>4645</v>
      </c>
      <c r="M509" s="16" t="s">
        <v>5671</v>
      </c>
      <c r="N509" s="16" t="s">
        <v>5672</v>
      </c>
    </row>
    <row r="510" spans="1:14" ht="20.100000000000001" customHeight="1" x14ac:dyDescent="0.25">
      <c r="A510" s="15" t="s">
        <v>5668</v>
      </c>
      <c r="B510" s="16" t="s">
        <v>57</v>
      </c>
      <c r="C510" s="15">
        <v>8100502</v>
      </c>
      <c r="D510" s="16" t="s">
        <v>67</v>
      </c>
      <c r="E510" s="15" t="s">
        <v>5690</v>
      </c>
      <c r="F510" s="21" t="str">
        <f>HYPERLINK("https://psearch.kitsapgov.com/webappa/index.html?parcelID=1714138&amp;Theme=Imagery","1714138")</f>
        <v>1714138</v>
      </c>
      <c r="G510" s="16" t="s">
        <v>5670</v>
      </c>
      <c r="H510" s="17">
        <v>43102</v>
      </c>
      <c r="I510" s="18">
        <v>715000</v>
      </c>
      <c r="J510" s="19">
        <v>0.23</v>
      </c>
      <c r="K510" s="16" t="s">
        <v>70</v>
      </c>
      <c r="L510" s="16" t="s">
        <v>4645</v>
      </c>
      <c r="M510" s="16" t="s">
        <v>5671</v>
      </c>
      <c r="N510" s="16" t="s">
        <v>5672</v>
      </c>
    </row>
    <row r="511" spans="1:14" ht="20.100000000000001" customHeight="1" x14ac:dyDescent="0.25">
      <c r="A511" s="15" t="s">
        <v>5668</v>
      </c>
      <c r="B511" s="16" t="s">
        <v>57</v>
      </c>
      <c r="C511" s="15">
        <v>8100502</v>
      </c>
      <c r="D511" s="16" t="s">
        <v>67</v>
      </c>
      <c r="E511" s="15" t="s">
        <v>5691</v>
      </c>
      <c r="F511" s="21" t="str">
        <f>HYPERLINK("https://psearch.kitsapgov.com/webappa/index.html?parcelID=1714146&amp;Theme=Imagery","1714146")</f>
        <v>1714146</v>
      </c>
      <c r="G511" s="16" t="s">
        <v>5670</v>
      </c>
      <c r="H511" s="17">
        <v>43102</v>
      </c>
      <c r="I511" s="18">
        <v>715000</v>
      </c>
      <c r="J511" s="19">
        <v>0.84</v>
      </c>
      <c r="K511" s="16" t="s">
        <v>70</v>
      </c>
      <c r="L511" s="16" t="s">
        <v>4645</v>
      </c>
      <c r="M511" s="16" t="s">
        <v>5671</v>
      </c>
      <c r="N511" s="16" t="s">
        <v>5672</v>
      </c>
    </row>
    <row r="512" spans="1:14" ht="20.100000000000001" customHeight="1" x14ac:dyDescent="0.25">
      <c r="A512" s="15" t="s">
        <v>5668</v>
      </c>
      <c r="B512" s="16" t="s">
        <v>57</v>
      </c>
      <c r="C512" s="15">
        <v>8100502</v>
      </c>
      <c r="D512" s="16" t="s">
        <v>67</v>
      </c>
      <c r="E512" s="15" t="s">
        <v>5692</v>
      </c>
      <c r="F512" s="21" t="str">
        <f>HYPERLINK("https://psearch.kitsapgov.com/webappa/index.html?parcelID=1714153&amp;Theme=Imagery","1714153")</f>
        <v>1714153</v>
      </c>
      <c r="G512" s="16" t="s">
        <v>5670</v>
      </c>
      <c r="H512" s="17">
        <v>43102</v>
      </c>
      <c r="I512" s="18">
        <v>715000</v>
      </c>
      <c r="J512" s="19">
        <v>0.3</v>
      </c>
      <c r="K512" s="16" t="s">
        <v>70</v>
      </c>
      <c r="L512" s="16" t="s">
        <v>4645</v>
      </c>
      <c r="M512" s="16" t="s">
        <v>5671</v>
      </c>
      <c r="N512" s="16" t="s">
        <v>5672</v>
      </c>
    </row>
    <row r="513" spans="1:14" ht="39.950000000000003" customHeight="1" x14ac:dyDescent="0.25">
      <c r="A513" s="15" t="s">
        <v>5693</v>
      </c>
      <c r="B513" s="16" t="s">
        <v>1353</v>
      </c>
      <c r="C513" s="15">
        <v>8100502</v>
      </c>
      <c r="D513" s="16" t="s">
        <v>67</v>
      </c>
      <c r="E513" s="15" t="s">
        <v>5694</v>
      </c>
      <c r="F513" s="21" t="str">
        <f>HYPERLINK("https://psearch.kitsapgov.com/webappa/index.html?parcelID=1469824&amp;Theme=Imagery","1469824")</f>
        <v>1469824</v>
      </c>
      <c r="G513" s="16" t="s">
        <v>5695</v>
      </c>
      <c r="H513" s="17">
        <v>43118</v>
      </c>
      <c r="I513" s="18">
        <v>512166</v>
      </c>
      <c r="J513" s="19">
        <v>0.1</v>
      </c>
      <c r="K513" s="16" t="s">
        <v>839</v>
      </c>
      <c r="L513" s="16" t="s">
        <v>4656</v>
      </c>
      <c r="M513" s="16" t="s">
        <v>5696</v>
      </c>
      <c r="N513" s="16" t="s">
        <v>2940</v>
      </c>
    </row>
    <row r="514" spans="1:14" ht="20.100000000000001" customHeight="1" x14ac:dyDescent="0.25">
      <c r="A514" s="15" t="s">
        <v>5693</v>
      </c>
      <c r="B514" s="16" t="s">
        <v>1353</v>
      </c>
      <c r="C514" s="15">
        <v>8100502</v>
      </c>
      <c r="D514" s="16" t="s">
        <v>67</v>
      </c>
      <c r="E514" s="15" t="s">
        <v>5697</v>
      </c>
      <c r="F514" s="21" t="str">
        <f>HYPERLINK("https://psearch.kitsapgov.com/webappa/index.html?parcelID=2362192&amp;Theme=Imagery","2362192")</f>
        <v>2362192</v>
      </c>
      <c r="G514" s="16" t="s">
        <v>5698</v>
      </c>
      <c r="H514" s="17">
        <v>43118</v>
      </c>
      <c r="I514" s="18">
        <v>512166</v>
      </c>
      <c r="J514" s="19">
        <v>0.3</v>
      </c>
      <c r="K514" s="16" t="s">
        <v>839</v>
      </c>
      <c r="L514" s="16" t="s">
        <v>4656</v>
      </c>
      <c r="M514" s="16" t="s">
        <v>5696</v>
      </c>
      <c r="N514" s="16" t="s">
        <v>2940</v>
      </c>
    </row>
    <row r="515" spans="1:14" ht="39.950000000000003" customHeight="1" x14ac:dyDescent="0.25">
      <c r="A515" s="15" t="s">
        <v>5699</v>
      </c>
      <c r="B515" s="16" t="s">
        <v>330</v>
      </c>
      <c r="C515" s="15">
        <v>8100502</v>
      </c>
      <c r="D515" s="16" t="s">
        <v>67</v>
      </c>
      <c r="E515" s="15" t="s">
        <v>4852</v>
      </c>
      <c r="F515" s="21" t="str">
        <f>HYPERLINK("https://psearch.kitsapgov.com/webappa/index.html?parcelID=1146711&amp;Theme=Imagery","1146711")</f>
        <v>1146711</v>
      </c>
      <c r="G515" s="16" t="s">
        <v>4853</v>
      </c>
      <c r="H515" s="17">
        <v>43123</v>
      </c>
      <c r="I515" s="18">
        <v>375000</v>
      </c>
      <c r="J515" s="19">
        <v>0.17</v>
      </c>
      <c r="K515" s="16" t="s">
        <v>85</v>
      </c>
      <c r="L515" s="16" t="s">
        <v>4645</v>
      </c>
      <c r="M515" s="16" t="s">
        <v>4855</v>
      </c>
      <c r="N515" s="16" t="s">
        <v>5700</v>
      </c>
    </row>
    <row r="516" spans="1:14" ht="20.100000000000001" customHeight="1" x14ac:dyDescent="0.25">
      <c r="A516" s="15" t="s">
        <v>5699</v>
      </c>
      <c r="B516" s="16" t="s">
        <v>368</v>
      </c>
      <c r="C516" s="15">
        <v>8100502</v>
      </c>
      <c r="D516" s="16" t="s">
        <v>67</v>
      </c>
      <c r="E516" s="15" t="s">
        <v>4856</v>
      </c>
      <c r="F516" s="21" t="str">
        <f>HYPERLINK("https://psearch.kitsapgov.com/webappa/index.html?parcelID=1146752&amp;Theme=Imagery","1146752")</f>
        <v>1146752</v>
      </c>
      <c r="G516" s="16" t="s">
        <v>4857</v>
      </c>
      <c r="H516" s="17">
        <v>43123</v>
      </c>
      <c r="I516" s="18">
        <v>375000</v>
      </c>
      <c r="J516" s="19">
        <v>0.52</v>
      </c>
      <c r="K516" s="16" t="s">
        <v>85</v>
      </c>
      <c r="L516" s="16" t="s">
        <v>4645</v>
      </c>
      <c r="M516" s="16" t="s">
        <v>4855</v>
      </c>
      <c r="N516" s="16" t="s">
        <v>5700</v>
      </c>
    </row>
    <row r="517" spans="1:14" ht="39.950000000000003" customHeight="1" x14ac:dyDescent="0.25">
      <c r="A517" s="15" t="s">
        <v>5701</v>
      </c>
      <c r="B517" s="16" t="s">
        <v>96</v>
      </c>
      <c r="C517" s="15">
        <v>8400202</v>
      </c>
      <c r="D517" s="16" t="s">
        <v>158</v>
      </c>
      <c r="E517" s="15" t="s">
        <v>5702</v>
      </c>
      <c r="F517" s="21" t="str">
        <f>HYPERLINK("https://psearch.kitsapgov.com/webappa/index.html?parcelID=2606317&amp;Theme=Imagery","2606317")</f>
        <v>2606317</v>
      </c>
      <c r="G517" s="16" t="s">
        <v>5703</v>
      </c>
      <c r="H517" s="17">
        <v>43122</v>
      </c>
      <c r="I517" s="18">
        <v>2730000</v>
      </c>
      <c r="J517" s="19">
        <v>1.25</v>
      </c>
      <c r="K517" s="16" t="s">
        <v>100</v>
      </c>
      <c r="L517" s="16" t="s">
        <v>4645</v>
      </c>
      <c r="M517" s="16" t="s">
        <v>5704</v>
      </c>
      <c r="N517" s="16" t="s">
        <v>5705</v>
      </c>
    </row>
    <row r="518" spans="1:14" ht="20.100000000000001" customHeight="1" x14ac:dyDescent="0.25">
      <c r="A518" s="15" t="s">
        <v>5701</v>
      </c>
      <c r="B518" s="16" t="s">
        <v>57</v>
      </c>
      <c r="C518" s="15">
        <v>8400202</v>
      </c>
      <c r="D518" s="16" t="s">
        <v>158</v>
      </c>
      <c r="E518" s="15" t="s">
        <v>5706</v>
      </c>
      <c r="F518" s="21" t="str">
        <f>HYPERLINK("https://psearch.kitsapgov.com/webappa/index.html?parcelID=2606325&amp;Theme=Imagery","2606325")</f>
        <v>2606325</v>
      </c>
      <c r="G518" s="16" t="s">
        <v>5707</v>
      </c>
      <c r="H518" s="17">
        <v>43122</v>
      </c>
      <c r="I518" s="18">
        <v>2730000</v>
      </c>
      <c r="J518" s="19">
        <v>1.62</v>
      </c>
      <c r="K518" s="16" t="s">
        <v>100</v>
      </c>
      <c r="L518" s="16" t="s">
        <v>856</v>
      </c>
      <c r="M518" s="16" t="s">
        <v>5704</v>
      </c>
      <c r="N518" s="16" t="s">
        <v>5705</v>
      </c>
    </row>
    <row r="519" spans="1:14" ht="39.950000000000003" customHeight="1" x14ac:dyDescent="0.25">
      <c r="A519" s="15" t="s">
        <v>5708</v>
      </c>
      <c r="B519" s="16" t="s">
        <v>96</v>
      </c>
      <c r="C519" s="15">
        <v>8401101</v>
      </c>
      <c r="D519" s="16" t="s">
        <v>185</v>
      </c>
      <c r="E519" s="15" t="s">
        <v>5709</v>
      </c>
      <c r="F519" s="21" t="str">
        <f>HYPERLINK("https://psearch.kitsapgov.com/webappa/index.html?parcelID=2135770&amp;Theme=Imagery","2135770")</f>
        <v>2135770</v>
      </c>
      <c r="G519" s="16" t="s">
        <v>5710</v>
      </c>
      <c r="H519" s="17">
        <v>43117</v>
      </c>
      <c r="I519" s="18">
        <v>5150000</v>
      </c>
      <c r="J519" s="19">
        <v>1.18</v>
      </c>
      <c r="K519" s="16" t="s">
        <v>188</v>
      </c>
      <c r="L519" s="16" t="s">
        <v>4656</v>
      </c>
      <c r="M519" s="16" t="s">
        <v>5711</v>
      </c>
      <c r="N519" s="16" t="s">
        <v>5712</v>
      </c>
    </row>
    <row r="520" spans="1:14" ht="39.950000000000003" customHeight="1" x14ac:dyDescent="0.25">
      <c r="A520" s="15" t="s">
        <v>5713</v>
      </c>
      <c r="B520" s="16" t="s">
        <v>57</v>
      </c>
      <c r="C520" s="15">
        <v>8401101</v>
      </c>
      <c r="D520" s="16" t="s">
        <v>185</v>
      </c>
      <c r="E520" s="15" t="s">
        <v>5714</v>
      </c>
      <c r="F520" s="21" t="str">
        <f>HYPERLINK("https://psearch.kitsapgov.com/webappa/index.html?parcelID=2520039&amp;Theme=Imagery","2520039")</f>
        <v>2520039</v>
      </c>
      <c r="G520" s="16" t="s">
        <v>5715</v>
      </c>
      <c r="H520" s="17">
        <v>43129</v>
      </c>
      <c r="I520" s="18">
        <v>750000</v>
      </c>
      <c r="J520" s="19">
        <v>0.8</v>
      </c>
      <c r="K520" s="16" t="s">
        <v>188</v>
      </c>
      <c r="L520" s="16" t="s">
        <v>4645</v>
      </c>
      <c r="M520" s="16" t="s">
        <v>5716</v>
      </c>
      <c r="N520" s="16" t="s">
        <v>5717</v>
      </c>
    </row>
    <row r="521" spans="1:14" ht="20.100000000000001" customHeight="1" x14ac:dyDescent="0.25">
      <c r="A521" s="15" t="s">
        <v>5713</v>
      </c>
      <c r="B521" s="16" t="s">
        <v>57</v>
      </c>
      <c r="C521" s="15">
        <v>8401101</v>
      </c>
      <c r="D521" s="16" t="s">
        <v>185</v>
      </c>
      <c r="E521" s="15" t="s">
        <v>5718</v>
      </c>
      <c r="F521" s="21" t="str">
        <f>HYPERLINK("https://psearch.kitsapgov.com/webappa/index.html?parcelID=2520047&amp;Theme=Imagery","2520047")</f>
        <v>2520047</v>
      </c>
      <c r="G521" s="16" t="s">
        <v>5719</v>
      </c>
      <c r="H521" s="17">
        <v>43129</v>
      </c>
      <c r="I521" s="18">
        <v>750000</v>
      </c>
      <c r="J521" s="19">
        <v>0.92</v>
      </c>
      <c r="K521" s="16" t="s">
        <v>188</v>
      </c>
      <c r="L521" s="16" t="s">
        <v>4645</v>
      </c>
      <c r="M521" s="16" t="s">
        <v>5716</v>
      </c>
      <c r="N521" s="16" t="s">
        <v>5717</v>
      </c>
    </row>
    <row r="522" spans="1:14" ht="39.950000000000003" customHeight="1" x14ac:dyDescent="0.25">
      <c r="A522" s="15" t="s">
        <v>5720</v>
      </c>
      <c r="B522" s="16" t="s">
        <v>49</v>
      </c>
      <c r="C522" s="15">
        <v>8402307</v>
      </c>
      <c r="D522" s="16" t="s">
        <v>151</v>
      </c>
      <c r="E522" s="15" t="s">
        <v>1005</v>
      </c>
      <c r="F522" s="21" t="str">
        <f>HYPERLINK("https://psearch.kitsapgov.com/webappa/index.html?parcelID=1210418&amp;Theme=Imagery","1210418")</f>
        <v>1210418</v>
      </c>
      <c r="G522" s="16" t="s">
        <v>1006</v>
      </c>
      <c r="H522" s="17">
        <v>43151</v>
      </c>
      <c r="I522" s="18">
        <v>260000</v>
      </c>
      <c r="J522" s="19">
        <v>1.95</v>
      </c>
      <c r="K522" s="16" t="s">
        <v>371</v>
      </c>
      <c r="L522" s="16" t="s">
        <v>4645</v>
      </c>
      <c r="M522" s="16" t="s">
        <v>5721</v>
      </c>
      <c r="N522" s="16" t="s">
        <v>2985</v>
      </c>
    </row>
    <row r="523" spans="1:14" ht="20.100000000000001" customHeight="1" x14ac:dyDescent="0.25">
      <c r="A523" s="15" t="s">
        <v>5720</v>
      </c>
      <c r="B523" s="16" t="s">
        <v>57</v>
      </c>
      <c r="C523" s="15">
        <v>8402307</v>
      </c>
      <c r="D523" s="16" t="s">
        <v>151</v>
      </c>
      <c r="E523" s="15" t="s">
        <v>985</v>
      </c>
      <c r="F523" s="21" t="str">
        <f>HYPERLINK("https://psearch.kitsapgov.com/webappa/index.html?parcelID=1210541&amp;Theme=Imagery","1210541")</f>
        <v>1210541</v>
      </c>
      <c r="G523" s="16" t="s">
        <v>986</v>
      </c>
      <c r="H523" s="17">
        <v>43151</v>
      </c>
      <c r="I523" s="18">
        <v>260000</v>
      </c>
      <c r="J523" s="19">
        <v>1.96</v>
      </c>
      <c r="K523" s="16" t="s">
        <v>371</v>
      </c>
      <c r="L523" s="16" t="s">
        <v>4645</v>
      </c>
      <c r="M523" s="16" t="s">
        <v>5721</v>
      </c>
      <c r="N523" s="16" t="s">
        <v>2985</v>
      </c>
    </row>
    <row r="524" spans="1:14" ht="39.950000000000003" customHeight="1" x14ac:dyDescent="0.25">
      <c r="A524" s="15" t="s">
        <v>5722</v>
      </c>
      <c r="B524" s="16" t="s">
        <v>306</v>
      </c>
      <c r="C524" s="15">
        <v>8400204</v>
      </c>
      <c r="D524" s="16" t="s">
        <v>178</v>
      </c>
      <c r="E524" s="15" t="s">
        <v>5723</v>
      </c>
      <c r="F524" s="21" t="str">
        <f>HYPERLINK("https://psearch.kitsapgov.com/webappa/index.html?parcelID=2260677&amp;Theme=Imagery","2260677")</f>
        <v>2260677</v>
      </c>
      <c r="G524" s="16" t="s">
        <v>5724</v>
      </c>
      <c r="H524" s="17">
        <v>43153</v>
      </c>
      <c r="I524" s="18">
        <v>648000</v>
      </c>
      <c r="J524" s="19">
        <v>0.08</v>
      </c>
      <c r="K524" s="16" t="s">
        <v>147</v>
      </c>
      <c r="L524" s="16" t="s">
        <v>4645</v>
      </c>
      <c r="M524" s="16" t="s">
        <v>5725</v>
      </c>
      <c r="N524" s="16" t="s">
        <v>5726</v>
      </c>
    </row>
    <row r="525" spans="1:14" ht="20.100000000000001" customHeight="1" x14ac:dyDescent="0.25">
      <c r="A525" s="15" t="s">
        <v>5722</v>
      </c>
      <c r="B525" s="16" t="s">
        <v>306</v>
      </c>
      <c r="C525" s="15">
        <v>8400204</v>
      </c>
      <c r="D525" s="16" t="s">
        <v>178</v>
      </c>
      <c r="E525" s="15" t="s">
        <v>5727</v>
      </c>
      <c r="F525" s="21" t="str">
        <f>HYPERLINK("https://psearch.kitsapgov.com/webappa/index.html?parcelID=2260685&amp;Theme=Imagery","2260685")</f>
        <v>2260685</v>
      </c>
      <c r="G525" s="16" t="s">
        <v>5728</v>
      </c>
      <c r="H525" s="17">
        <v>43153</v>
      </c>
      <c r="I525" s="18">
        <v>648000</v>
      </c>
      <c r="J525" s="19">
        <v>0.08</v>
      </c>
      <c r="K525" s="16" t="s">
        <v>147</v>
      </c>
      <c r="L525" s="16" t="s">
        <v>4645</v>
      </c>
      <c r="M525" s="16" t="s">
        <v>5725</v>
      </c>
      <c r="N525" s="16" t="s">
        <v>5726</v>
      </c>
    </row>
    <row r="526" spans="1:14" ht="39.950000000000003" customHeight="1" x14ac:dyDescent="0.25">
      <c r="A526" s="15" t="s">
        <v>5729</v>
      </c>
      <c r="B526" s="16" t="s">
        <v>124</v>
      </c>
      <c r="C526" s="15">
        <v>9402405</v>
      </c>
      <c r="D526" s="16" t="s">
        <v>5329</v>
      </c>
      <c r="E526" s="15" t="s">
        <v>5730</v>
      </c>
      <c r="F526" s="21" t="str">
        <f>HYPERLINK("https://psearch.kitsapgov.com/webappa/index.html?parcelID=1206366&amp;Theme=Imagery","1206366")</f>
        <v>1206366</v>
      </c>
      <c r="G526" s="16" t="s">
        <v>5731</v>
      </c>
      <c r="H526" s="17">
        <v>43160</v>
      </c>
      <c r="I526" s="18">
        <v>480000</v>
      </c>
      <c r="J526" s="19">
        <v>1.46</v>
      </c>
      <c r="K526" s="16" t="s">
        <v>128</v>
      </c>
      <c r="L526" s="16" t="s">
        <v>4645</v>
      </c>
      <c r="M526" s="16" t="s">
        <v>5732</v>
      </c>
      <c r="N526" s="16" t="s">
        <v>5733</v>
      </c>
    </row>
    <row r="527" spans="1:14" ht="20.100000000000001" customHeight="1" x14ac:dyDescent="0.25">
      <c r="A527" s="15" t="s">
        <v>5729</v>
      </c>
      <c r="B527" s="16" t="s">
        <v>5575</v>
      </c>
      <c r="C527" s="15">
        <v>7402405</v>
      </c>
      <c r="D527" s="16" t="s">
        <v>5326</v>
      </c>
      <c r="E527" s="15" t="s">
        <v>5734</v>
      </c>
      <c r="F527" s="21" t="str">
        <f>HYPERLINK("https://psearch.kitsapgov.com/webappa/index.html?parcelID=1206697&amp;Theme=Imagery","1206697")</f>
        <v>1206697</v>
      </c>
      <c r="G527" s="16" t="s">
        <v>107</v>
      </c>
      <c r="H527" s="17">
        <v>43160</v>
      </c>
      <c r="I527" s="18">
        <v>480000</v>
      </c>
      <c r="J527" s="19">
        <v>0.02</v>
      </c>
      <c r="K527" s="16" t="s">
        <v>128</v>
      </c>
      <c r="L527" s="16" t="s">
        <v>4645</v>
      </c>
      <c r="M527" s="16" t="s">
        <v>5732</v>
      </c>
      <c r="N527" s="16" t="s">
        <v>5733</v>
      </c>
    </row>
    <row r="528" spans="1:14" ht="39.950000000000003" customHeight="1" x14ac:dyDescent="0.25">
      <c r="A528" s="15" t="s">
        <v>5735</v>
      </c>
      <c r="B528" s="16" t="s">
        <v>57</v>
      </c>
      <c r="C528" s="15">
        <v>9100541</v>
      </c>
      <c r="D528" s="16" t="s">
        <v>215</v>
      </c>
      <c r="E528" s="15" t="s">
        <v>5736</v>
      </c>
      <c r="F528" s="21" t="str">
        <f>HYPERLINK("https://psearch.kitsapgov.com/webappa/index.html?parcelID=2589885&amp;Theme=Imagery","2589885")</f>
        <v>2589885</v>
      </c>
      <c r="G528" s="16" t="s">
        <v>5737</v>
      </c>
      <c r="H528" s="17">
        <v>43161</v>
      </c>
      <c r="I528" s="18">
        <v>2230000</v>
      </c>
      <c r="J528" s="19">
        <v>0.68</v>
      </c>
      <c r="K528" s="16" t="s">
        <v>218</v>
      </c>
      <c r="L528" s="16" t="s">
        <v>129</v>
      </c>
      <c r="M528" s="16" t="s">
        <v>2474</v>
      </c>
      <c r="N528" s="16" t="s">
        <v>5738</v>
      </c>
    </row>
    <row r="529" spans="1:14" ht="20.100000000000001" customHeight="1" x14ac:dyDescent="0.25">
      <c r="A529" s="15" t="s">
        <v>5735</v>
      </c>
      <c r="B529" s="16" t="s">
        <v>57</v>
      </c>
      <c r="C529" s="15">
        <v>9100541</v>
      </c>
      <c r="D529" s="16" t="s">
        <v>215</v>
      </c>
      <c r="E529" s="15" t="s">
        <v>5739</v>
      </c>
      <c r="F529" s="21" t="str">
        <f>HYPERLINK("https://psearch.kitsapgov.com/webappa/index.html?parcelID=2589893&amp;Theme=Imagery","2589893")</f>
        <v>2589893</v>
      </c>
      <c r="G529" s="16" t="s">
        <v>5740</v>
      </c>
      <c r="H529" s="17">
        <v>43161</v>
      </c>
      <c r="I529" s="18">
        <v>2230000</v>
      </c>
      <c r="J529" s="19">
        <v>0.14000000000000001</v>
      </c>
      <c r="K529" s="16" t="s">
        <v>218</v>
      </c>
      <c r="L529" s="16" t="s">
        <v>129</v>
      </c>
      <c r="M529" s="16" t="s">
        <v>2474</v>
      </c>
      <c r="N529" s="16" t="s">
        <v>5738</v>
      </c>
    </row>
    <row r="530" spans="1:14" ht="39.950000000000003" customHeight="1" x14ac:dyDescent="0.25">
      <c r="A530" s="15" t="s">
        <v>5741</v>
      </c>
      <c r="B530" s="16" t="s">
        <v>57</v>
      </c>
      <c r="C530" s="15">
        <v>8401508</v>
      </c>
      <c r="D530" s="16" t="s">
        <v>90</v>
      </c>
      <c r="E530" s="15" t="s">
        <v>5742</v>
      </c>
      <c r="F530" s="21" t="str">
        <f>HYPERLINK("https://psearch.kitsapgov.com/webappa/index.html?parcelID=1974492&amp;Theme=Imagery","1974492")</f>
        <v>1974492</v>
      </c>
      <c r="G530" s="16" t="s">
        <v>1838</v>
      </c>
      <c r="H530" s="17">
        <v>43164</v>
      </c>
      <c r="I530" s="18">
        <v>1700000</v>
      </c>
      <c r="J530" s="19">
        <v>1.32</v>
      </c>
      <c r="K530" s="16" t="s">
        <v>78</v>
      </c>
      <c r="L530" s="16" t="s">
        <v>4645</v>
      </c>
      <c r="M530" s="16" t="s">
        <v>4245</v>
      </c>
      <c r="N530" s="16" t="s">
        <v>4366</v>
      </c>
    </row>
    <row r="531" spans="1:14" ht="20.100000000000001" customHeight="1" x14ac:dyDescent="0.25">
      <c r="A531" s="15" t="s">
        <v>5741</v>
      </c>
      <c r="B531" s="16" t="s">
        <v>368</v>
      </c>
      <c r="C531" s="15">
        <v>8401508</v>
      </c>
      <c r="D531" s="16" t="s">
        <v>90</v>
      </c>
      <c r="E531" s="15" t="s">
        <v>5743</v>
      </c>
      <c r="F531" s="21" t="str">
        <f>HYPERLINK("https://psearch.kitsapgov.com/webappa/index.html?parcelID=1974500&amp;Theme=Imagery","1974500")</f>
        <v>1974500</v>
      </c>
      <c r="G531" s="16" t="s">
        <v>2014</v>
      </c>
      <c r="H531" s="17">
        <v>43164</v>
      </c>
      <c r="I531" s="18">
        <v>1700000</v>
      </c>
      <c r="J531" s="19">
        <v>0.99</v>
      </c>
      <c r="K531" s="16" t="s">
        <v>78</v>
      </c>
      <c r="L531" s="16" t="s">
        <v>4645</v>
      </c>
      <c r="M531" s="16" t="s">
        <v>4245</v>
      </c>
      <c r="N531" s="16" t="s">
        <v>4366</v>
      </c>
    </row>
    <row r="532" spans="1:14" ht="39.950000000000003" customHeight="1" x14ac:dyDescent="0.25">
      <c r="A532" s="15" t="s">
        <v>5744</v>
      </c>
      <c r="B532" s="16" t="s">
        <v>74</v>
      </c>
      <c r="C532" s="15">
        <v>8401104</v>
      </c>
      <c r="D532" s="16" t="s">
        <v>144</v>
      </c>
      <c r="E532" s="15" t="s">
        <v>5745</v>
      </c>
      <c r="F532" s="21" t="str">
        <f>HYPERLINK("https://psearch.kitsapgov.com/webappa/index.html?parcelID=2580553&amp;Theme=Imagery","2580553")</f>
        <v>2580553</v>
      </c>
      <c r="G532" s="16" t="s">
        <v>5746</v>
      </c>
      <c r="H532" s="17">
        <v>43165</v>
      </c>
      <c r="I532" s="18">
        <v>135453</v>
      </c>
      <c r="J532" s="19">
        <v>8.42</v>
      </c>
      <c r="K532" s="16" t="s">
        <v>61</v>
      </c>
      <c r="L532" s="16" t="s">
        <v>20</v>
      </c>
      <c r="M532" s="16" t="s">
        <v>5747</v>
      </c>
      <c r="N532" s="16" t="s">
        <v>5748</v>
      </c>
    </row>
    <row r="533" spans="1:14" ht="20.100000000000001" customHeight="1" x14ac:dyDescent="0.25">
      <c r="A533" s="15" t="s">
        <v>5744</v>
      </c>
      <c r="B533" s="16" t="s">
        <v>49</v>
      </c>
      <c r="C533" s="15">
        <v>8401104</v>
      </c>
      <c r="D533" s="16" t="s">
        <v>144</v>
      </c>
      <c r="E533" s="15" t="s">
        <v>5749</v>
      </c>
      <c r="F533" s="21" t="str">
        <f>HYPERLINK("https://psearch.kitsapgov.com/webappa/index.html?parcelID=2599041&amp;Theme=Imagery","2599041")</f>
        <v>2599041</v>
      </c>
      <c r="G533" s="16" t="s">
        <v>5750</v>
      </c>
      <c r="H533" s="17">
        <v>43165</v>
      </c>
      <c r="I533" s="18">
        <v>135453</v>
      </c>
      <c r="J533" s="19">
        <v>2.21</v>
      </c>
      <c r="K533" s="16" t="s">
        <v>61</v>
      </c>
      <c r="L533" s="16" t="s">
        <v>20</v>
      </c>
      <c r="M533" s="16" t="s">
        <v>5747</v>
      </c>
      <c r="N533" s="16" t="s">
        <v>5748</v>
      </c>
    </row>
    <row r="534" spans="1:14" ht="39.950000000000003" customHeight="1" x14ac:dyDescent="0.25">
      <c r="A534" s="15" t="s">
        <v>5751</v>
      </c>
      <c r="B534" s="16" t="s">
        <v>57</v>
      </c>
      <c r="C534" s="15">
        <v>8400301</v>
      </c>
      <c r="D534" s="16" t="s">
        <v>1139</v>
      </c>
      <c r="E534" s="15" t="s">
        <v>5752</v>
      </c>
      <c r="F534" s="21" t="str">
        <f>HYPERLINK("https://psearch.kitsapgov.com/webappa/index.html?parcelID=1582014&amp;Theme=Imagery","1582014")</f>
        <v>1582014</v>
      </c>
      <c r="G534" s="16" t="s">
        <v>5753</v>
      </c>
      <c r="H534" s="17">
        <v>43178</v>
      </c>
      <c r="I534" s="18">
        <v>1100000</v>
      </c>
      <c r="J534" s="19">
        <v>0.11</v>
      </c>
      <c r="K534" s="16" t="s">
        <v>1142</v>
      </c>
      <c r="L534" s="16" t="s">
        <v>4645</v>
      </c>
      <c r="M534" s="16" t="s">
        <v>5754</v>
      </c>
      <c r="N534" s="16" t="s">
        <v>5755</v>
      </c>
    </row>
    <row r="535" spans="1:14" ht="20.100000000000001" customHeight="1" x14ac:dyDescent="0.25">
      <c r="A535" s="15" t="s">
        <v>5751</v>
      </c>
      <c r="B535" s="16" t="s">
        <v>33</v>
      </c>
      <c r="C535" s="15">
        <v>8400301</v>
      </c>
      <c r="D535" s="16" t="s">
        <v>1139</v>
      </c>
      <c r="E535" s="15" t="s">
        <v>5756</v>
      </c>
      <c r="F535" s="21" t="str">
        <f>HYPERLINK("https://psearch.kitsapgov.com/webappa/index.html?parcelID=1582055&amp;Theme=Imagery","1582055")</f>
        <v>1582055</v>
      </c>
      <c r="G535" s="16" t="s">
        <v>5757</v>
      </c>
      <c r="H535" s="17">
        <v>43178</v>
      </c>
      <c r="I535" s="18">
        <v>1100000</v>
      </c>
      <c r="J535" s="19">
        <v>0.13</v>
      </c>
      <c r="K535" s="16" t="s">
        <v>1142</v>
      </c>
      <c r="L535" s="16" t="s">
        <v>4645</v>
      </c>
      <c r="M535" s="16" t="s">
        <v>5754</v>
      </c>
      <c r="N535" s="16" t="s">
        <v>5755</v>
      </c>
    </row>
    <row r="536" spans="1:14" ht="20.100000000000001" customHeight="1" x14ac:dyDescent="0.25">
      <c r="A536" s="15" t="s">
        <v>5751</v>
      </c>
      <c r="B536" s="16" t="s">
        <v>330</v>
      </c>
      <c r="C536" s="15">
        <v>9400390</v>
      </c>
      <c r="D536" s="16" t="s">
        <v>1560</v>
      </c>
      <c r="E536" s="15" t="s">
        <v>5758</v>
      </c>
      <c r="F536" s="21" t="str">
        <f>HYPERLINK("https://psearch.kitsapgov.com/webappa/index.html?parcelID=1582733&amp;Theme=Imagery","1582733")</f>
        <v>1582733</v>
      </c>
      <c r="G536" s="16" t="s">
        <v>5759</v>
      </c>
      <c r="H536" s="17">
        <v>43178</v>
      </c>
      <c r="I536" s="18">
        <v>1100000</v>
      </c>
      <c r="J536" s="19">
        <v>0.22</v>
      </c>
      <c r="K536" s="16" t="s">
        <v>1142</v>
      </c>
      <c r="L536" s="16" t="s">
        <v>4645</v>
      </c>
      <c r="M536" s="16" t="s">
        <v>5754</v>
      </c>
      <c r="N536" s="16" t="s">
        <v>5755</v>
      </c>
    </row>
    <row r="537" spans="1:14" ht="39.950000000000003" customHeight="1" x14ac:dyDescent="0.25">
      <c r="A537" s="15" t="s">
        <v>5760</v>
      </c>
      <c r="B537" s="16" t="s">
        <v>89</v>
      </c>
      <c r="C537" s="15">
        <v>8100501</v>
      </c>
      <c r="D537" s="16" t="s">
        <v>117</v>
      </c>
      <c r="E537" s="15" t="s">
        <v>5761</v>
      </c>
      <c r="F537" s="21" t="str">
        <f>HYPERLINK("https://psearch.kitsapgov.com/webappa/index.html?parcelID=2563872&amp;Theme=Imagery","2563872")</f>
        <v>2563872</v>
      </c>
      <c r="G537" s="16" t="s">
        <v>5762</v>
      </c>
      <c r="H537" s="17">
        <v>43178</v>
      </c>
      <c r="I537" s="18">
        <v>750000</v>
      </c>
      <c r="J537" s="19">
        <v>0.21</v>
      </c>
      <c r="K537" s="16" t="s">
        <v>2887</v>
      </c>
      <c r="L537" s="16" t="s">
        <v>4645</v>
      </c>
      <c r="M537" s="16" t="s">
        <v>5763</v>
      </c>
      <c r="N537" s="16" t="s">
        <v>5764</v>
      </c>
    </row>
    <row r="538" spans="1:14" ht="20.100000000000001" customHeight="1" x14ac:dyDescent="0.25">
      <c r="A538" s="15" t="s">
        <v>5760</v>
      </c>
      <c r="B538" s="16" t="s">
        <v>33</v>
      </c>
      <c r="C538" s="15">
        <v>8100501</v>
      </c>
      <c r="D538" s="16" t="s">
        <v>117</v>
      </c>
      <c r="E538" s="15" t="s">
        <v>5765</v>
      </c>
      <c r="F538" s="21" t="str">
        <f>HYPERLINK("https://psearch.kitsapgov.com/webappa/index.html?parcelID=2512226&amp;Theme=Imagery","2512226")</f>
        <v>2512226</v>
      </c>
      <c r="G538" s="16" t="s">
        <v>5766</v>
      </c>
      <c r="H538" s="17">
        <v>43178</v>
      </c>
      <c r="I538" s="18">
        <v>750000</v>
      </c>
      <c r="J538" s="19">
        <v>7.0000000000000007E-2</v>
      </c>
      <c r="K538" s="16" t="s">
        <v>2887</v>
      </c>
      <c r="L538" s="16" t="s">
        <v>4645</v>
      </c>
      <c r="M538" s="16" t="s">
        <v>5763</v>
      </c>
      <c r="N538" s="16" t="s">
        <v>5764</v>
      </c>
    </row>
    <row r="539" spans="1:14" ht="39.950000000000003" customHeight="1" x14ac:dyDescent="0.25">
      <c r="A539" s="15" t="s">
        <v>5767</v>
      </c>
      <c r="B539" s="16" t="s">
        <v>89</v>
      </c>
      <c r="C539" s="15">
        <v>8400201</v>
      </c>
      <c r="D539" s="16" t="s">
        <v>941</v>
      </c>
      <c r="E539" s="15" t="s">
        <v>5768</v>
      </c>
      <c r="F539" s="21" t="str">
        <f>HYPERLINK("https://psearch.kitsapgov.com/webappa/index.html?parcelID=1343144&amp;Theme=Imagery","1343144")</f>
        <v>1343144</v>
      </c>
      <c r="G539" s="16" t="s">
        <v>5769</v>
      </c>
      <c r="H539" s="17">
        <v>43185</v>
      </c>
      <c r="I539" s="18">
        <v>440000</v>
      </c>
      <c r="J539" s="19">
        <v>0.32</v>
      </c>
      <c r="K539" s="16" t="s">
        <v>944</v>
      </c>
      <c r="L539" s="16" t="s">
        <v>856</v>
      </c>
      <c r="M539" s="16" t="s">
        <v>5770</v>
      </c>
      <c r="N539" s="16" t="s">
        <v>5771</v>
      </c>
    </row>
    <row r="540" spans="1:14" ht="39.950000000000003" customHeight="1" x14ac:dyDescent="0.25">
      <c r="A540" s="15" t="s">
        <v>5772</v>
      </c>
      <c r="B540" s="16" t="s">
        <v>74</v>
      </c>
      <c r="C540" s="15">
        <v>8402307</v>
      </c>
      <c r="D540" s="16" t="s">
        <v>151</v>
      </c>
      <c r="E540" s="15" t="s">
        <v>5773</v>
      </c>
      <c r="F540" s="21" t="str">
        <f>HYPERLINK("https://psearch.kitsapgov.com/webappa/index.html?parcelID=2605459&amp;Theme=Imagery","2605459")</f>
        <v>2605459</v>
      </c>
      <c r="G540" s="16" t="s">
        <v>5774</v>
      </c>
      <c r="H540" s="17">
        <v>43186</v>
      </c>
      <c r="I540" s="18">
        <v>1200000</v>
      </c>
      <c r="J540" s="19">
        <v>4.3</v>
      </c>
      <c r="K540" s="16" t="s">
        <v>371</v>
      </c>
      <c r="L540" s="16" t="s">
        <v>4645</v>
      </c>
      <c r="M540" s="16" t="s">
        <v>5775</v>
      </c>
      <c r="N540" s="16" t="s">
        <v>5776</v>
      </c>
    </row>
    <row r="541" spans="1:14" ht="20.100000000000001" customHeight="1" x14ac:dyDescent="0.25">
      <c r="A541" s="15" t="s">
        <v>5772</v>
      </c>
      <c r="B541" s="16" t="s">
        <v>74</v>
      </c>
      <c r="C541" s="15">
        <v>8402307</v>
      </c>
      <c r="D541" s="16" t="s">
        <v>151</v>
      </c>
      <c r="E541" s="15" t="s">
        <v>5777</v>
      </c>
      <c r="F541" s="21" t="str">
        <f>HYPERLINK("https://psearch.kitsapgov.com/webappa/index.html?parcelID=2605467&amp;Theme=Imagery","2605467")</f>
        <v>2605467</v>
      </c>
      <c r="G541" s="16" t="s">
        <v>5778</v>
      </c>
      <c r="H541" s="17">
        <v>43186</v>
      </c>
      <c r="I541" s="18">
        <v>1200000</v>
      </c>
      <c r="J541" s="19">
        <v>0.41</v>
      </c>
      <c r="K541" s="16" t="s">
        <v>371</v>
      </c>
      <c r="L541" s="16" t="s">
        <v>4645</v>
      </c>
      <c r="M541" s="16" t="s">
        <v>5775</v>
      </c>
      <c r="N541" s="16" t="s">
        <v>5776</v>
      </c>
    </row>
    <row r="542" spans="1:14" ht="39.950000000000003" customHeight="1" x14ac:dyDescent="0.25">
      <c r="A542" s="15" t="s">
        <v>5779</v>
      </c>
      <c r="B542" s="16" t="s">
        <v>330</v>
      </c>
      <c r="C542" s="15">
        <v>8100510</v>
      </c>
      <c r="D542" s="16" t="s">
        <v>401</v>
      </c>
      <c r="E542" s="15" t="s">
        <v>5780</v>
      </c>
      <c r="F542" s="21" t="str">
        <f>HYPERLINK("https://psearch.kitsapgov.com/webappa/index.html?parcelID=1438076&amp;Theme=Imagery","1438076")</f>
        <v>1438076</v>
      </c>
      <c r="G542" s="16" t="s">
        <v>5781</v>
      </c>
      <c r="H542" s="17">
        <v>43186</v>
      </c>
      <c r="I542" s="18">
        <v>530000</v>
      </c>
      <c r="J542" s="19">
        <v>0.09</v>
      </c>
      <c r="K542" s="16" t="s">
        <v>28</v>
      </c>
      <c r="L542" s="16" t="s">
        <v>4656</v>
      </c>
      <c r="M542" s="16" t="s">
        <v>5782</v>
      </c>
      <c r="N542" s="16" t="s">
        <v>5783</v>
      </c>
    </row>
    <row r="543" spans="1:14" ht="20.100000000000001" customHeight="1" x14ac:dyDescent="0.25">
      <c r="A543" s="15" t="s">
        <v>5779</v>
      </c>
      <c r="B543" s="16" t="s">
        <v>89</v>
      </c>
      <c r="C543" s="15">
        <v>8100510</v>
      </c>
      <c r="D543" s="16" t="s">
        <v>401</v>
      </c>
      <c r="E543" s="15" t="s">
        <v>5784</v>
      </c>
      <c r="F543" s="21" t="str">
        <f>HYPERLINK("https://psearch.kitsapgov.com/webappa/index.html?parcelID=1438084&amp;Theme=Imagery","1438084")</f>
        <v>1438084</v>
      </c>
      <c r="G543" s="16" t="s">
        <v>5785</v>
      </c>
      <c r="H543" s="17">
        <v>43186</v>
      </c>
      <c r="I543" s="18">
        <v>530000</v>
      </c>
      <c r="J543" s="19">
        <v>0.14000000000000001</v>
      </c>
      <c r="K543" s="16" t="s">
        <v>28</v>
      </c>
      <c r="L543" s="16" t="s">
        <v>4656</v>
      </c>
      <c r="M543" s="16" t="s">
        <v>5782</v>
      </c>
      <c r="N543" s="16" t="s">
        <v>5783</v>
      </c>
    </row>
    <row r="544" spans="1:14" ht="39.950000000000003" customHeight="1" x14ac:dyDescent="0.25">
      <c r="A544" s="15" t="s">
        <v>5786</v>
      </c>
      <c r="B544" s="16" t="s">
        <v>57</v>
      </c>
      <c r="C544" s="15">
        <v>9100542</v>
      </c>
      <c r="D544" s="16" t="s">
        <v>454</v>
      </c>
      <c r="E544" s="15" t="s">
        <v>5787</v>
      </c>
      <c r="F544" s="21" t="str">
        <f>HYPERLINK("https://psearch.kitsapgov.com/webappa/index.html?parcelID=1105865&amp;Theme=Imagery","1105865")</f>
        <v>1105865</v>
      </c>
      <c r="G544" s="16" t="s">
        <v>5788</v>
      </c>
      <c r="H544" s="17">
        <v>43192</v>
      </c>
      <c r="I544" s="18">
        <v>1350000</v>
      </c>
      <c r="J544" s="19">
        <v>4.57</v>
      </c>
      <c r="K544" s="16" t="s">
        <v>28</v>
      </c>
      <c r="L544" s="16" t="s">
        <v>4645</v>
      </c>
      <c r="M544" s="16" t="s">
        <v>3291</v>
      </c>
      <c r="N544" s="16" t="s">
        <v>1928</v>
      </c>
    </row>
    <row r="545" spans="1:14" ht="20.100000000000001" customHeight="1" x14ac:dyDescent="0.25">
      <c r="A545" s="15" t="s">
        <v>5786</v>
      </c>
      <c r="B545" s="16" t="s">
        <v>5575</v>
      </c>
      <c r="C545" s="15">
        <v>9100542</v>
      </c>
      <c r="D545" s="16" t="s">
        <v>454</v>
      </c>
      <c r="E545" s="15" t="s">
        <v>5789</v>
      </c>
      <c r="F545" s="21" t="str">
        <f>HYPERLINK("https://psearch.kitsapgov.com/webappa/index.html?parcelID=1106301&amp;Theme=Imagery","1106301")</f>
        <v>1106301</v>
      </c>
      <c r="G545" s="16" t="s">
        <v>5790</v>
      </c>
      <c r="H545" s="17">
        <v>43192</v>
      </c>
      <c r="I545" s="18">
        <v>1350000</v>
      </c>
      <c r="J545" s="19">
        <v>0.25</v>
      </c>
      <c r="K545" s="16" t="s">
        <v>28</v>
      </c>
      <c r="L545" s="16" t="s">
        <v>4645</v>
      </c>
      <c r="M545" s="16" t="s">
        <v>3291</v>
      </c>
      <c r="N545" s="16" t="s">
        <v>1928</v>
      </c>
    </row>
    <row r="546" spans="1:14" ht="20.100000000000001" customHeight="1" x14ac:dyDescent="0.25">
      <c r="A546" s="15" t="s">
        <v>5786</v>
      </c>
      <c r="B546" s="16" t="s">
        <v>57</v>
      </c>
      <c r="C546" s="15">
        <v>9100542</v>
      </c>
      <c r="D546" s="16" t="s">
        <v>454</v>
      </c>
      <c r="E546" s="15" t="s">
        <v>5791</v>
      </c>
      <c r="F546" s="21" t="str">
        <f>HYPERLINK("https://psearch.kitsapgov.com/webappa/index.html?parcelID=1106541&amp;Theme=Imagery","1106541")</f>
        <v>1106541</v>
      </c>
      <c r="G546" s="16" t="s">
        <v>5792</v>
      </c>
      <c r="H546" s="17">
        <v>43192</v>
      </c>
      <c r="I546" s="18">
        <v>1350000</v>
      </c>
      <c r="J546" s="19">
        <v>0.51</v>
      </c>
      <c r="K546" s="16" t="s">
        <v>28</v>
      </c>
      <c r="L546" s="16" t="s">
        <v>4645</v>
      </c>
      <c r="M546" s="16" t="s">
        <v>3291</v>
      </c>
      <c r="N546" s="16" t="s">
        <v>1928</v>
      </c>
    </row>
    <row r="547" spans="1:14" ht="20.100000000000001" customHeight="1" x14ac:dyDescent="0.25">
      <c r="A547" s="15" t="s">
        <v>5786</v>
      </c>
      <c r="B547" s="16" t="s">
        <v>57</v>
      </c>
      <c r="C547" s="15">
        <v>9100542</v>
      </c>
      <c r="D547" s="16" t="s">
        <v>454</v>
      </c>
      <c r="E547" s="15" t="s">
        <v>5793</v>
      </c>
      <c r="F547" s="21" t="str">
        <f>HYPERLINK("https://psearch.kitsapgov.com/webappa/index.html?parcelID=1106574&amp;Theme=Imagery","1106574")</f>
        <v>1106574</v>
      </c>
      <c r="G547" s="16" t="s">
        <v>5794</v>
      </c>
      <c r="H547" s="17">
        <v>43192</v>
      </c>
      <c r="I547" s="18">
        <v>1350000</v>
      </c>
      <c r="J547" s="19">
        <v>0.23</v>
      </c>
      <c r="K547" s="16" t="s">
        <v>28</v>
      </c>
      <c r="L547" s="16" t="s">
        <v>4645</v>
      </c>
      <c r="M547" s="16" t="s">
        <v>3291</v>
      </c>
      <c r="N547" s="16" t="s">
        <v>1928</v>
      </c>
    </row>
    <row r="548" spans="1:14" ht="20.100000000000001" customHeight="1" x14ac:dyDescent="0.25">
      <c r="A548" s="15" t="s">
        <v>5786</v>
      </c>
      <c r="B548" s="16" t="s">
        <v>57</v>
      </c>
      <c r="C548" s="15">
        <v>9100542</v>
      </c>
      <c r="D548" s="16" t="s">
        <v>454</v>
      </c>
      <c r="E548" s="15" t="s">
        <v>5795</v>
      </c>
      <c r="F548" s="21" t="str">
        <f>HYPERLINK("https://psearch.kitsapgov.com/webappa/index.html?parcelID=1950641&amp;Theme=Imagery","1950641")</f>
        <v>1950641</v>
      </c>
      <c r="G548" s="16" t="s">
        <v>5796</v>
      </c>
      <c r="H548" s="17">
        <v>43192</v>
      </c>
      <c r="I548" s="18">
        <v>1350000</v>
      </c>
      <c r="J548" s="19">
        <v>12.95</v>
      </c>
      <c r="K548" s="16" t="s">
        <v>28</v>
      </c>
      <c r="L548" s="16" t="s">
        <v>4645</v>
      </c>
      <c r="M548" s="16" t="s">
        <v>3291</v>
      </c>
      <c r="N548" s="16" t="s">
        <v>1928</v>
      </c>
    </row>
    <row r="549" spans="1:14" ht="20.100000000000001" customHeight="1" x14ac:dyDescent="0.25">
      <c r="A549" s="15" t="s">
        <v>5786</v>
      </c>
      <c r="B549" s="16" t="s">
        <v>57</v>
      </c>
      <c r="C549" s="15">
        <v>9100542</v>
      </c>
      <c r="D549" s="16" t="s">
        <v>454</v>
      </c>
      <c r="E549" s="15" t="s">
        <v>5797</v>
      </c>
      <c r="F549" s="21" t="str">
        <f>HYPERLINK("https://psearch.kitsapgov.com/webappa/index.html?parcelID=1979350&amp;Theme=Imagery","1979350")</f>
        <v>1979350</v>
      </c>
      <c r="G549" s="16" t="s">
        <v>5798</v>
      </c>
      <c r="H549" s="17">
        <v>43192</v>
      </c>
      <c r="I549" s="18">
        <v>1350000</v>
      </c>
      <c r="J549" s="19">
        <v>0.45</v>
      </c>
      <c r="K549" s="16" t="s">
        <v>28</v>
      </c>
      <c r="L549" s="16" t="s">
        <v>4645</v>
      </c>
      <c r="M549" s="16" t="s">
        <v>3291</v>
      </c>
      <c r="N549" s="16" t="s">
        <v>1928</v>
      </c>
    </row>
    <row r="550" spans="1:14" ht="20.100000000000001" customHeight="1" x14ac:dyDescent="0.25">
      <c r="A550" s="15" t="s">
        <v>5786</v>
      </c>
      <c r="B550" s="16" t="s">
        <v>57</v>
      </c>
      <c r="C550" s="15">
        <v>9100542</v>
      </c>
      <c r="D550" s="16" t="s">
        <v>454</v>
      </c>
      <c r="E550" s="15" t="s">
        <v>5799</v>
      </c>
      <c r="F550" s="21" t="str">
        <f>HYPERLINK("https://psearch.kitsapgov.com/webappa/index.html?parcelID=2467157&amp;Theme=Imagery","2467157")</f>
        <v>2467157</v>
      </c>
      <c r="G550" s="16" t="s">
        <v>5800</v>
      </c>
      <c r="H550" s="17">
        <v>43192</v>
      </c>
      <c r="I550" s="18">
        <v>1350000</v>
      </c>
      <c r="J550" s="19">
        <v>0.71</v>
      </c>
      <c r="K550" s="16" t="s">
        <v>28</v>
      </c>
      <c r="L550" s="16" t="s">
        <v>4645</v>
      </c>
      <c r="M550" s="16" t="s">
        <v>3291</v>
      </c>
      <c r="N550" s="16" t="s">
        <v>1928</v>
      </c>
    </row>
    <row r="551" spans="1:14" ht="39.950000000000003" customHeight="1" x14ac:dyDescent="0.25">
      <c r="A551" s="15" t="s">
        <v>5801</v>
      </c>
      <c r="B551" s="16" t="s">
        <v>57</v>
      </c>
      <c r="C551" s="15">
        <v>7401113</v>
      </c>
      <c r="D551" s="16" t="s">
        <v>5802</v>
      </c>
      <c r="E551" s="15" t="s">
        <v>5803</v>
      </c>
      <c r="F551" s="21" t="str">
        <f>HYPERLINK("https://psearch.kitsapgov.com/webappa/index.html?parcelID=1037753&amp;Theme=Imagery","1037753")</f>
        <v>1037753</v>
      </c>
      <c r="G551" s="16" t="s">
        <v>107</v>
      </c>
      <c r="H551" s="17">
        <v>43203</v>
      </c>
      <c r="I551" s="18">
        <v>525000</v>
      </c>
      <c r="J551" s="19">
        <v>5.99</v>
      </c>
      <c r="K551" s="16" t="s">
        <v>1745</v>
      </c>
      <c r="L551" s="16" t="s">
        <v>246</v>
      </c>
      <c r="M551" s="16" t="s">
        <v>5804</v>
      </c>
      <c r="N551" s="16" t="s">
        <v>5805</v>
      </c>
    </row>
    <row r="552" spans="1:14" ht="20.100000000000001" customHeight="1" x14ac:dyDescent="0.25">
      <c r="A552" s="15" t="s">
        <v>5801</v>
      </c>
      <c r="B552" s="16" t="s">
        <v>57</v>
      </c>
      <c r="C552" s="15">
        <v>7401113</v>
      </c>
      <c r="D552" s="16" t="s">
        <v>5802</v>
      </c>
      <c r="E552" s="15" t="s">
        <v>5806</v>
      </c>
      <c r="F552" s="21" t="str">
        <f>HYPERLINK("https://psearch.kitsapgov.com/webappa/index.html?parcelID=1040617&amp;Theme=Imagery","1040617")</f>
        <v>1040617</v>
      </c>
      <c r="G552" s="16" t="s">
        <v>107</v>
      </c>
      <c r="H552" s="17">
        <v>43203</v>
      </c>
      <c r="I552" s="18">
        <v>525000</v>
      </c>
      <c r="J552" s="19">
        <v>3.88</v>
      </c>
      <c r="K552" s="16" t="s">
        <v>1745</v>
      </c>
      <c r="L552" s="16" t="s">
        <v>246</v>
      </c>
      <c r="M552" s="16" t="s">
        <v>5804</v>
      </c>
      <c r="N552" s="16" t="s">
        <v>5805</v>
      </c>
    </row>
    <row r="553" spans="1:14" ht="20.100000000000001" customHeight="1" x14ac:dyDescent="0.25">
      <c r="A553" s="15" t="s">
        <v>5801</v>
      </c>
      <c r="B553" s="16" t="s">
        <v>1893</v>
      </c>
      <c r="C553" s="15">
        <v>9401113</v>
      </c>
      <c r="D553" s="16" t="s">
        <v>1894</v>
      </c>
      <c r="E553" s="15" t="s">
        <v>5807</v>
      </c>
      <c r="F553" s="21" t="str">
        <f>HYPERLINK("https://psearch.kitsapgov.com/webappa/index.html?parcelID=1172014&amp;Theme=Imagery","1172014")</f>
        <v>1172014</v>
      </c>
      <c r="G553" s="16" t="s">
        <v>5808</v>
      </c>
      <c r="H553" s="17">
        <v>43203</v>
      </c>
      <c r="I553" s="18">
        <v>525000</v>
      </c>
      <c r="J553" s="19">
        <v>39.54</v>
      </c>
      <c r="K553" s="16" t="s">
        <v>128</v>
      </c>
      <c r="L553" s="16" t="s">
        <v>246</v>
      </c>
      <c r="M553" s="16" t="s">
        <v>5804</v>
      </c>
      <c r="N553" s="16" t="s">
        <v>5805</v>
      </c>
    </row>
    <row r="554" spans="1:14" ht="20.100000000000001" customHeight="1" x14ac:dyDescent="0.25">
      <c r="A554" s="15" t="s">
        <v>5801</v>
      </c>
      <c r="B554" s="16" t="s">
        <v>49</v>
      </c>
      <c r="C554" s="15">
        <v>7401113</v>
      </c>
      <c r="D554" s="16" t="s">
        <v>5802</v>
      </c>
      <c r="E554" s="15" t="s">
        <v>5809</v>
      </c>
      <c r="F554" s="21" t="str">
        <f>HYPERLINK("https://psearch.kitsapgov.com/webappa/index.html?parcelID=1172030&amp;Theme=Imagery","1172030")</f>
        <v>1172030</v>
      </c>
      <c r="G554" s="16" t="s">
        <v>107</v>
      </c>
      <c r="H554" s="17">
        <v>43203</v>
      </c>
      <c r="I554" s="18">
        <v>525000</v>
      </c>
      <c r="J554" s="19">
        <v>22.76</v>
      </c>
      <c r="K554" s="16" t="s">
        <v>128</v>
      </c>
      <c r="L554" s="16" t="s">
        <v>246</v>
      </c>
      <c r="M554" s="16" t="s">
        <v>5804</v>
      </c>
      <c r="N554" s="16" t="s">
        <v>5805</v>
      </c>
    </row>
    <row r="555" spans="1:14" ht="20.100000000000001" customHeight="1" x14ac:dyDescent="0.25">
      <c r="A555" s="15" t="s">
        <v>5801</v>
      </c>
      <c r="B555" s="16" t="s">
        <v>1893</v>
      </c>
      <c r="C555" s="15">
        <v>9401113</v>
      </c>
      <c r="D555" s="16" t="s">
        <v>1894</v>
      </c>
      <c r="E555" s="15" t="s">
        <v>5810</v>
      </c>
      <c r="F555" s="21" t="str">
        <f>HYPERLINK("https://psearch.kitsapgov.com/webappa/index.html?parcelID=1172055&amp;Theme=Imagery","1172055")</f>
        <v>1172055</v>
      </c>
      <c r="G555" s="16" t="s">
        <v>5811</v>
      </c>
      <c r="H555" s="17">
        <v>43203</v>
      </c>
      <c r="I555" s="18">
        <v>525000</v>
      </c>
      <c r="J555" s="19">
        <v>15.98</v>
      </c>
      <c r="K555" s="16" t="s">
        <v>128</v>
      </c>
      <c r="L555" s="16" t="s">
        <v>246</v>
      </c>
      <c r="M555" s="16" t="s">
        <v>5804</v>
      </c>
      <c r="N555" s="16" t="s">
        <v>5805</v>
      </c>
    </row>
    <row r="556" spans="1:14" ht="20.100000000000001" customHeight="1" x14ac:dyDescent="0.25">
      <c r="A556" s="15" t="s">
        <v>5801</v>
      </c>
      <c r="B556" s="16" t="s">
        <v>57</v>
      </c>
      <c r="C556" s="15">
        <v>7401113</v>
      </c>
      <c r="D556" s="16" t="s">
        <v>5802</v>
      </c>
      <c r="E556" s="15" t="s">
        <v>5812</v>
      </c>
      <c r="F556" s="21" t="str">
        <f>HYPERLINK("https://psearch.kitsapgov.com/webappa/index.html?parcelID=1173566&amp;Theme=Imagery","1173566")</f>
        <v>1173566</v>
      </c>
      <c r="G556" s="16" t="s">
        <v>5813</v>
      </c>
      <c r="H556" s="17">
        <v>43203</v>
      </c>
      <c r="I556" s="18">
        <v>525000</v>
      </c>
      <c r="J556" s="19">
        <v>12.64</v>
      </c>
      <c r="K556" s="16" t="s">
        <v>1745</v>
      </c>
      <c r="L556" s="16" t="s">
        <v>246</v>
      </c>
      <c r="M556" s="16" t="s">
        <v>5804</v>
      </c>
      <c r="N556" s="16" t="s">
        <v>5805</v>
      </c>
    </row>
    <row r="557" spans="1:14" ht="20.100000000000001" customHeight="1" x14ac:dyDescent="0.25">
      <c r="A557" s="15" t="s">
        <v>5801</v>
      </c>
      <c r="B557" s="16" t="s">
        <v>1893</v>
      </c>
      <c r="C557" s="15">
        <v>9401113</v>
      </c>
      <c r="D557" s="16" t="s">
        <v>1894</v>
      </c>
      <c r="E557" s="15" t="s">
        <v>5814</v>
      </c>
      <c r="F557" s="21" t="str">
        <f>HYPERLINK("https://psearch.kitsapgov.com/webappa/index.html?parcelID=1173582&amp;Theme=Imagery","1173582")</f>
        <v>1173582</v>
      </c>
      <c r="G557" s="16" t="s">
        <v>5815</v>
      </c>
      <c r="H557" s="17">
        <v>43203</v>
      </c>
      <c r="I557" s="18">
        <v>525000</v>
      </c>
      <c r="J557" s="19">
        <v>29.8</v>
      </c>
      <c r="K557" s="16" t="s">
        <v>128</v>
      </c>
      <c r="L557" s="16" t="s">
        <v>246</v>
      </c>
      <c r="M557" s="16" t="s">
        <v>5804</v>
      </c>
      <c r="N557" s="16" t="s">
        <v>5805</v>
      </c>
    </row>
    <row r="558" spans="1:14" ht="39.950000000000003" customHeight="1" x14ac:dyDescent="0.25">
      <c r="A558" s="15" t="s">
        <v>5816</v>
      </c>
      <c r="B558" s="16" t="s">
        <v>33</v>
      </c>
      <c r="C558" s="15">
        <v>8400201</v>
      </c>
      <c r="D558" s="16" t="s">
        <v>941</v>
      </c>
      <c r="E558" s="15" t="s">
        <v>3935</v>
      </c>
      <c r="F558" s="21" t="str">
        <f>HYPERLINK("https://psearch.kitsapgov.com/webappa/index.html?parcelID=2366854&amp;Theme=Imagery","2366854")</f>
        <v>2366854</v>
      </c>
      <c r="G558" s="16" t="s">
        <v>3936</v>
      </c>
      <c r="H558" s="17">
        <v>43206</v>
      </c>
      <c r="I558" s="18">
        <v>854000</v>
      </c>
      <c r="J558" s="19">
        <v>0.11</v>
      </c>
      <c r="K558" s="16" t="s">
        <v>944</v>
      </c>
      <c r="L558" s="16" t="s">
        <v>129</v>
      </c>
      <c r="M558" s="16" t="s">
        <v>5817</v>
      </c>
      <c r="N558" s="16" t="s">
        <v>3753</v>
      </c>
    </row>
    <row r="559" spans="1:14" ht="20.100000000000001" customHeight="1" x14ac:dyDescent="0.25">
      <c r="A559" s="15" t="s">
        <v>5816</v>
      </c>
      <c r="B559" s="16" t="s">
        <v>89</v>
      </c>
      <c r="C559" s="15">
        <v>8400201</v>
      </c>
      <c r="D559" s="16" t="s">
        <v>941</v>
      </c>
      <c r="E559" s="15" t="s">
        <v>3751</v>
      </c>
      <c r="F559" s="21" t="str">
        <f>HYPERLINK("https://psearch.kitsapgov.com/webappa/index.html?parcelID=2366862&amp;Theme=Imagery","2366862")</f>
        <v>2366862</v>
      </c>
      <c r="G559" s="16" t="s">
        <v>3752</v>
      </c>
      <c r="H559" s="17">
        <v>43206</v>
      </c>
      <c r="I559" s="18">
        <v>854000</v>
      </c>
      <c r="J559" s="19">
        <v>0.28000000000000003</v>
      </c>
      <c r="K559" s="16" t="s">
        <v>944</v>
      </c>
      <c r="L559" s="16" t="s">
        <v>129</v>
      </c>
      <c r="M559" s="16" t="s">
        <v>5817</v>
      </c>
      <c r="N559" s="16" t="s">
        <v>3753</v>
      </c>
    </row>
    <row r="560" spans="1:14" ht="39.950000000000003" customHeight="1" x14ac:dyDescent="0.25">
      <c r="A560" s="15" t="s">
        <v>5818</v>
      </c>
      <c r="B560" s="16" t="s">
        <v>330</v>
      </c>
      <c r="C560" s="15">
        <v>8100510</v>
      </c>
      <c r="D560" s="16" t="s">
        <v>401</v>
      </c>
      <c r="E560" s="15" t="s">
        <v>5819</v>
      </c>
      <c r="F560" s="21" t="str">
        <f>HYPERLINK("https://psearch.kitsapgov.com/webappa/index.html?parcelID=1437854&amp;Theme=Imagery","1437854")</f>
        <v>1437854</v>
      </c>
      <c r="G560" s="16" t="s">
        <v>5820</v>
      </c>
      <c r="H560" s="17">
        <v>43209</v>
      </c>
      <c r="I560" s="18">
        <v>195000</v>
      </c>
      <c r="J560" s="19">
        <v>0.1</v>
      </c>
      <c r="K560" s="16" t="s">
        <v>28</v>
      </c>
      <c r="L560" s="16" t="s">
        <v>372</v>
      </c>
      <c r="M560" s="16" t="s">
        <v>5821</v>
      </c>
      <c r="N560" s="16" t="s">
        <v>5822</v>
      </c>
    </row>
    <row r="561" spans="1:14" ht="20.100000000000001" customHeight="1" x14ac:dyDescent="0.25">
      <c r="A561" s="15" t="s">
        <v>5818</v>
      </c>
      <c r="B561" s="16" t="s">
        <v>1037</v>
      </c>
      <c r="C561" s="15">
        <v>8100510</v>
      </c>
      <c r="D561" s="16" t="s">
        <v>401</v>
      </c>
      <c r="E561" s="15" t="s">
        <v>5823</v>
      </c>
      <c r="F561" s="21" t="str">
        <f>HYPERLINK("https://psearch.kitsapgov.com/webappa/index.html?parcelID=1437862&amp;Theme=Imagery","1437862")</f>
        <v>1437862</v>
      </c>
      <c r="G561" s="16" t="s">
        <v>5824</v>
      </c>
      <c r="H561" s="17">
        <v>43209</v>
      </c>
      <c r="I561" s="18">
        <v>195000</v>
      </c>
      <c r="J561" s="19">
        <v>0.14000000000000001</v>
      </c>
      <c r="K561" s="16" t="s">
        <v>28</v>
      </c>
      <c r="L561" s="16" t="s">
        <v>372</v>
      </c>
      <c r="M561" s="16" t="s">
        <v>5821</v>
      </c>
      <c r="N561" s="16" t="s">
        <v>5822</v>
      </c>
    </row>
    <row r="562" spans="1:14" ht="39.950000000000003" customHeight="1" x14ac:dyDescent="0.25">
      <c r="A562" s="15" t="s">
        <v>5825</v>
      </c>
      <c r="B562" s="16" t="s">
        <v>57</v>
      </c>
      <c r="C562" s="15">
        <v>8400301</v>
      </c>
      <c r="D562" s="16" t="s">
        <v>1139</v>
      </c>
      <c r="E562" s="15" t="s">
        <v>2042</v>
      </c>
      <c r="F562" s="21" t="str">
        <f>HYPERLINK("https://psearch.kitsapgov.com/webappa/index.html?parcelID=2414365&amp;Theme=Imagery","2414365")</f>
        <v>2414365</v>
      </c>
      <c r="G562" s="16" t="s">
        <v>1602</v>
      </c>
      <c r="H562" s="17">
        <v>43216</v>
      </c>
      <c r="I562" s="18">
        <v>2128116</v>
      </c>
      <c r="J562" s="19">
        <v>1.79</v>
      </c>
      <c r="K562" s="16" t="s">
        <v>78</v>
      </c>
      <c r="L562" s="16" t="s">
        <v>4645</v>
      </c>
      <c r="M562" s="16" t="s">
        <v>1346</v>
      </c>
      <c r="N562" s="16" t="s">
        <v>5826</v>
      </c>
    </row>
    <row r="563" spans="1:14" ht="20.100000000000001" customHeight="1" x14ac:dyDescent="0.25">
      <c r="A563" s="15" t="s">
        <v>5825</v>
      </c>
      <c r="B563" s="16" t="s">
        <v>57</v>
      </c>
      <c r="C563" s="15">
        <v>8400301</v>
      </c>
      <c r="D563" s="16" t="s">
        <v>1139</v>
      </c>
      <c r="E563" s="15" t="s">
        <v>1800</v>
      </c>
      <c r="F563" s="21" t="str">
        <f>HYPERLINK("https://psearch.kitsapgov.com/webappa/index.html?parcelID=2414373&amp;Theme=Imagery","2414373")</f>
        <v>2414373</v>
      </c>
      <c r="G563" s="16" t="s">
        <v>1602</v>
      </c>
      <c r="H563" s="17">
        <v>43216</v>
      </c>
      <c r="I563" s="18">
        <v>2128116</v>
      </c>
      <c r="J563" s="19">
        <v>1.78</v>
      </c>
      <c r="K563" s="16" t="s">
        <v>78</v>
      </c>
      <c r="L563" s="16" t="s">
        <v>4645</v>
      </c>
      <c r="M563" s="16" t="s">
        <v>1346</v>
      </c>
      <c r="N563" s="16" t="s">
        <v>5826</v>
      </c>
    </row>
    <row r="564" spans="1:14" ht="20.100000000000001" customHeight="1" x14ac:dyDescent="0.25">
      <c r="A564" s="15" t="s">
        <v>5825</v>
      </c>
      <c r="B564" s="16" t="s">
        <v>57</v>
      </c>
      <c r="C564" s="15">
        <v>8400301</v>
      </c>
      <c r="D564" s="16" t="s">
        <v>1139</v>
      </c>
      <c r="E564" s="15" t="s">
        <v>1601</v>
      </c>
      <c r="F564" s="21" t="str">
        <f>HYPERLINK("https://psearch.kitsapgov.com/webappa/index.html?parcelID=2414381&amp;Theme=Imagery","2414381")</f>
        <v>2414381</v>
      </c>
      <c r="G564" s="16" t="s">
        <v>1602</v>
      </c>
      <c r="H564" s="17">
        <v>43216</v>
      </c>
      <c r="I564" s="18">
        <v>2128116</v>
      </c>
      <c r="J564" s="19">
        <v>1.78</v>
      </c>
      <c r="K564" s="16" t="s">
        <v>78</v>
      </c>
      <c r="L564" s="16" t="s">
        <v>4645</v>
      </c>
      <c r="M564" s="16" t="s">
        <v>1346</v>
      </c>
      <c r="N564" s="16" t="s">
        <v>5826</v>
      </c>
    </row>
    <row r="565" spans="1:14" ht="20.100000000000001" customHeight="1" x14ac:dyDescent="0.25">
      <c r="A565" s="15" t="s">
        <v>5825</v>
      </c>
      <c r="B565" s="16" t="s">
        <v>57</v>
      </c>
      <c r="C565" s="15">
        <v>8400301</v>
      </c>
      <c r="D565" s="16" t="s">
        <v>1139</v>
      </c>
      <c r="E565" s="15" t="s">
        <v>1342</v>
      </c>
      <c r="F565" s="21" t="str">
        <f>HYPERLINK("https://psearch.kitsapgov.com/webappa/index.html?parcelID=2414399&amp;Theme=Imagery","2414399")</f>
        <v>2414399</v>
      </c>
      <c r="G565" s="16" t="s">
        <v>1343</v>
      </c>
      <c r="H565" s="17">
        <v>43216</v>
      </c>
      <c r="I565" s="18">
        <v>2128116</v>
      </c>
      <c r="J565" s="19">
        <v>1.74</v>
      </c>
      <c r="K565" s="16" t="s">
        <v>78</v>
      </c>
      <c r="L565" s="16" t="s">
        <v>4645</v>
      </c>
      <c r="M565" s="16" t="s">
        <v>1346</v>
      </c>
      <c r="N565" s="16" t="s">
        <v>5826</v>
      </c>
    </row>
    <row r="566" spans="1:14" ht="39.950000000000003" customHeight="1" x14ac:dyDescent="0.25">
      <c r="A566" s="15" t="s">
        <v>5827</v>
      </c>
      <c r="B566" s="16" t="s">
        <v>57</v>
      </c>
      <c r="C566" s="15">
        <v>9100542</v>
      </c>
      <c r="D566" s="16" t="s">
        <v>454</v>
      </c>
      <c r="E566" s="15" t="s">
        <v>5787</v>
      </c>
      <c r="F566" s="21" t="str">
        <f>HYPERLINK("https://psearch.kitsapgov.com/webappa/index.html?parcelID=1105865&amp;Theme=Imagery","1105865")</f>
        <v>1105865</v>
      </c>
      <c r="G566" s="16" t="s">
        <v>5788</v>
      </c>
      <c r="H566" s="17">
        <v>43234</v>
      </c>
      <c r="I566" s="18">
        <v>2225000</v>
      </c>
      <c r="J566" s="19">
        <v>4.57</v>
      </c>
      <c r="K566" s="16" t="s">
        <v>28</v>
      </c>
      <c r="L566" s="16" t="s">
        <v>4645</v>
      </c>
      <c r="M566" s="16" t="s">
        <v>1928</v>
      </c>
      <c r="N566" s="16" t="s">
        <v>5828</v>
      </c>
    </row>
    <row r="567" spans="1:14" ht="20.100000000000001" customHeight="1" x14ac:dyDescent="0.25">
      <c r="A567" s="15" t="s">
        <v>5827</v>
      </c>
      <c r="B567" s="16" t="s">
        <v>5575</v>
      </c>
      <c r="C567" s="15">
        <v>9100542</v>
      </c>
      <c r="D567" s="16" t="s">
        <v>454</v>
      </c>
      <c r="E567" s="15" t="s">
        <v>5789</v>
      </c>
      <c r="F567" s="21" t="str">
        <f>HYPERLINK("https://psearch.kitsapgov.com/webappa/index.html?parcelID=1106301&amp;Theme=Imagery","1106301")</f>
        <v>1106301</v>
      </c>
      <c r="G567" s="16" t="s">
        <v>5790</v>
      </c>
      <c r="H567" s="17">
        <v>43234</v>
      </c>
      <c r="I567" s="18">
        <v>2225000</v>
      </c>
      <c r="J567" s="19">
        <v>0.25</v>
      </c>
      <c r="K567" s="16" t="s">
        <v>28</v>
      </c>
      <c r="L567" s="16" t="s">
        <v>4645</v>
      </c>
      <c r="M567" s="16" t="s">
        <v>1928</v>
      </c>
      <c r="N567" s="16" t="s">
        <v>5828</v>
      </c>
    </row>
    <row r="568" spans="1:14" ht="20.100000000000001" customHeight="1" x14ac:dyDescent="0.25">
      <c r="A568" s="15" t="s">
        <v>5827</v>
      </c>
      <c r="B568" s="16" t="s">
        <v>57</v>
      </c>
      <c r="C568" s="15">
        <v>9100542</v>
      </c>
      <c r="D568" s="16" t="s">
        <v>454</v>
      </c>
      <c r="E568" s="15" t="s">
        <v>5791</v>
      </c>
      <c r="F568" s="21" t="str">
        <f>HYPERLINK("https://psearch.kitsapgov.com/webappa/index.html?parcelID=1106541&amp;Theme=Imagery","1106541")</f>
        <v>1106541</v>
      </c>
      <c r="G568" s="16" t="s">
        <v>5792</v>
      </c>
      <c r="H568" s="17">
        <v>43234</v>
      </c>
      <c r="I568" s="18">
        <v>2225000</v>
      </c>
      <c r="J568" s="19">
        <v>0.51</v>
      </c>
      <c r="K568" s="16" t="s">
        <v>28</v>
      </c>
      <c r="L568" s="16" t="s">
        <v>4645</v>
      </c>
      <c r="M568" s="16" t="s">
        <v>1928</v>
      </c>
      <c r="N568" s="16" t="s">
        <v>5828</v>
      </c>
    </row>
    <row r="569" spans="1:14" ht="20.100000000000001" customHeight="1" x14ac:dyDescent="0.25">
      <c r="A569" s="15" t="s">
        <v>5827</v>
      </c>
      <c r="B569" s="16" t="s">
        <v>57</v>
      </c>
      <c r="C569" s="15">
        <v>9100542</v>
      </c>
      <c r="D569" s="16" t="s">
        <v>454</v>
      </c>
      <c r="E569" s="15" t="s">
        <v>5793</v>
      </c>
      <c r="F569" s="21" t="str">
        <f>HYPERLINK("https://psearch.kitsapgov.com/webappa/index.html?parcelID=1106574&amp;Theme=Imagery","1106574")</f>
        <v>1106574</v>
      </c>
      <c r="G569" s="16" t="s">
        <v>5794</v>
      </c>
      <c r="H569" s="17">
        <v>43234</v>
      </c>
      <c r="I569" s="18">
        <v>2225000</v>
      </c>
      <c r="J569" s="19">
        <v>0.23</v>
      </c>
      <c r="K569" s="16" t="s">
        <v>28</v>
      </c>
      <c r="L569" s="16" t="s">
        <v>4645</v>
      </c>
      <c r="M569" s="16" t="s">
        <v>1928</v>
      </c>
      <c r="N569" s="16" t="s">
        <v>5828</v>
      </c>
    </row>
    <row r="570" spans="1:14" ht="20.100000000000001" customHeight="1" x14ac:dyDescent="0.25">
      <c r="A570" s="15" t="s">
        <v>5827</v>
      </c>
      <c r="B570" s="16" t="s">
        <v>57</v>
      </c>
      <c r="C570" s="15">
        <v>9100542</v>
      </c>
      <c r="D570" s="16" t="s">
        <v>454</v>
      </c>
      <c r="E570" s="15" t="s">
        <v>5795</v>
      </c>
      <c r="F570" s="21" t="str">
        <f>HYPERLINK("https://psearch.kitsapgov.com/webappa/index.html?parcelID=1950641&amp;Theme=Imagery","1950641")</f>
        <v>1950641</v>
      </c>
      <c r="G570" s="16" t="s">
        <v>5796</v>
      </c>
      <c r="H570" s="17">
        <v>43234</v>
      </c>
      <c r="I570" s="18">
        <v>2225000</v>
      </c>
      <c r="J570" s="19">
        <v>12.95</v>
      </c>
      <c r="K570" s="16" t="s">
        <v>28</v>
      </c>
      <c r="L570" s="16" t="s">
        <v>4645</v>
      </c>
      <c r="M570" s="16" t="s">
        <v>1928</v>
      </c>
      <c r="N570" s="16" t="s">
        <v>5828</v>
      </c>
    </row>
    <row r="571" spans="1:14" ht="20.100000000000001" customHeight="1" x14ac:dyDescent="0.25">
      <c r="A571" s="15" t="s">
        <v>5827</v>
      </c>
      <c r="B571" s="16" t="s">
        <v>57</v>
      </c>
      <c r="C571" s="15">
        <v>9100542</v>
      </c>
      <c r="D571" s="16" t="s">
        <v>454</v>
      </c>
      <c r="E571" s="15" t="s">
        <v>5797</v>
      </c>
      <c r="F571" s="21" t="str">
        <f>HYPERLINK("https://psearch.kitsapgov.com/webappa/index.html?parcelID=1979350&amp;Theme=Imagery","1979350")</f>
        <v>1979350</v>
      </c>
      <c r="G571" s="16" t="s">
        <v>5798</v>
      </c>
      <c r="H571" s="17">
        <v>43234</v>
      </c>
      <c r="I571" s="18">
        <v>2225000</v>
      </c>
      <c r="J571" s="19">
        <v>0.45</v>
      </c>
      <c r="K571" s="16" t="s">
        <v>28</v>
      </c>
      <c r="L571" s="16" t="s">
        <v>4645</v>
      </c>
      <c r="M571" s="16" t="s">
        <v>1928</v>
      </c>
      <c r="N571" s="16" t="s">
        <v>5828</v>
      </c>
    </row>
    <row r="572" spans="1:14" ht="20.100000000000001" customHeight="1" x14ac:dyDescent="0.25">
      <c r="A572" s="15" t="s">
        <v>5827</v>
      </c>
      <c r="B572" s="16" t="s">
        <v>57</v>
      </c>
      <c r="C572" s="15">
        <v>9100542</v>
      </c>
      <c r="D572" s="16" t="s">
        <v>454</v>
      </c>
      <c r="E572" s="15" t="s">
        <v>5799</v>
      </c>
      <c r="F572" s="21" t="str">
        <f>HYPERLINK("https://psearch.kitsapgov.com/webappa/index.html?parcelID=2467157&amp;Theme=Imagery","2467157")</f>
        <v>2467157</v>
      </c>
      <c r="G572" s="16" t="s">
        <v>5800</v>
      </c>
      <c r="H572" s="17">
        <v>43234</v>
      </c>
      <c r="I572" s="18">
        <v>2225000</v>
      </c>
      <c r="J572" s="19">
        <v>0.71</v>
      </c>
      <c r="K572" s="16" t="s">
        <v>28</v>
      </c>
      <c r="L572" s="16" t="s">
        <v>4645</v>
      </c>
      <c r="M572" s="16" t="s">
        <v>1928</v>
      </c>
      <c r="N572" s="16" t="s">
        <v>5828</v>
      </c>
    </row>
    <row r="573" spans="1:14" ht="39.950000000000003" customHeight="1" x14ac:dyDescent="0.25">
      <c r="A573" s="15" t="s">
        <v>5829</v>
      </c>
      <c r="B573" s="16" t="s">
        <v>49</v>
      </c>
      <c r="C573" s="15">
        <v>8100507</v>
      </c>
      <c r="D573" s="16" t="s">
        <v>5830</v>
      </c>
      <c r="E573" s="15" t="s">
        <v>5831</v>
      </c>
      <c r="F573" s="21" t="str">
        <f>HYPERLINK("https://psearch.kitsapgov.com/webappa/index.html?parcelID=1135938&amp;Theme=Imagery","1135938")</f>
        <v>1135938</v>
      </c>
      <c r="G573" s="16" t="s">
        <v>5832</v>
      </c>
      <c r="H573" s="17">
        <v>43245</v>
      </c>
      <c r="I573" s="18">
        <v>165000</v>
      </c>
      <c r="J573" s="19">
        <v>0.03</v>
      </c>
      <c r="K573" s="16" t="s">
        <v>78</v>
      </c>
      <c r="L573" s="16" t="s">
        <v>4645</v>
      </c>
      <c r="M573" s="16" t="s">
        <v>5833</v>
      </c>
      <c r="N573" s="16" t="s">
        <v>5834</v>
      </c>
    </row>
    <row r="574" spans="1:14" ht="20.100000000000001" customHeight="1" x14ac:dyDescent="0.25">
      <c r="A574" s="15" t="s">
        <v>5829</v>
      </c>
      <c r="B574" s="16" t="s">
        <v>49</v>
      </c>
      <c r="C574" s="15">
        <v>8100507</v>
      </c>
      <c r="D574" s="16" t="s">
        <v>5830</v>
      </c>
      <c r="E574" s="15" t="s">
        <v>5835</v>
      </c>
      <c r="F574" s="21" t="str">
        <f>HYPERLINK("https://psearch.kitsapgov.com/webappa/index.html?parcelID=1135946&amp;Theme=Imagery","1135946")</f>
        <v>1135946</v>
      </c>
      <c r="G574" s="16" t="s">
        <v>3464</v>
      </c>
      <c r="H574" s="17">
        <v>43245</v>
      </c>
      <c r="I574" s="18">
        <v>165000</v>
      </c>
      <c r="J574" s="19">
        <v>0.82</v>
      </c>
      <c r="K574" s="16" t="s">
        <v>397</v>
      </c>
      <c r="L574" s="16" t="s">
        <v>4645</v>
      </c>
      <c r="M574" s="16" t="s">
        <v>5833</v>
      </c>
      <c r="N574" s="16" t="s">
        <v>5834</v>
      </c>
    </row>
    <row r="575" spans="1:14" ht="39.950000000000003" customHeight="1" x14ac:dyDescent="0.25">
      <c r="A575" s="15" t="s">
        <v>5836</v>
      </c>
      <c r="B575" s="16" t="s">
        <v>330</v>
      </c>
      <c r="C575" s="15">
        <v>9100541</v>
      </c>
      <c r="D575" s="16" t="s">
        <v>215</v>
      </c>
      <c r="E575" s="15" t="s">
        <v>5837</v>
      </c>
      <c r="F575" s="21" t="str">
        <f>HYPERLINK("https://psearch.kitsapgov.com/webappa/index.html?parcelID=1139526&amp;Theme=Imagery","1139526")</f>
        <v>1139526</v>
      </c>
      <c r="G575" s="16" t="s">
        <v>5838</v>
      </c>
      <c r="H575" s="17">
        <v>43245</v>
      </c>
      <c r="I575" s="18">
        <v>469600</v>
      </c>
      <c r="J575" s="19">
        <v>0.09</v>
      </c>
      <c r="K575" s="16" t="s">
        <v>218</v>
      </c>
      <c r="L575" s="16" t="s">
        <v>4645</v>
      </c>
      <c r="M575" s="16" t="s">
        <v>5839</v>
      </c>
      <c r="N575" s="16" t="s">
        <v>5840</v>
      </c>
    </row>
    <row r="576" spans="1:14" ht="20.100000000000001" customHeight="1" x14ac:dyDescent="0.25">
      <c r="A576" s="15" t="s">
        <v>5836</v>
      </c>
      <c r="B576" s="16" t="s">
        <v>330</v>
      </c>
      <c r="C576" s="15">
        <v>9100541</v>
      </c>
      <c r="D576" s="16" t="s">
        <v>215</v>
      </c>
      <c r="E576" s="15" t="s">
        <v>5841</v>
      </c>
      <c r="F576" s="21" t="str">
        <f>HYPERLINK("https://psearch.kitsapgov.com/webappa/index.html?parcelID=1139534&amp;Theme=Imagery","1139534")</f>
        <v>1139534</v>
      </c>
      <c r="G576" s="16" t="s">
        <v>5842</v>
      </c>
      <c r="H576" s="17">
        <v>43245</v>
      </c>
      <c r="I576" s="18">
        <v>469600</v>
      </c>
      <c r="J576" s="19">
        <v>0.08</v>
      </c>
      <c r="K576" s="16" t="s">
        <v>218</v>
      </c>
      <c r="L576" s="16" t="s">
        <v>4645</v>
      </c>
      <c r="M576" s="16" t="s">
        <v>5839</v>
      </c>
      <c r="N576" s="16" t="s">
        <v>5840</v>
      </c>
    </row>
    <row r="577" spans="1:14" ht="20.100000000000001" customHeight="1" x14ac:dyDescent="0.25">
      <c r="A577" s="15" t="s">
        <v>5836</v>
      </c>
      <c r="B577" s="16" t="s">
        <v>96</v>
      </c>
      <c r="C577" s="15">
        <v>8100501</v>
      </c>
      <c r="D577" s="16" t="s">
        <v>117</v>
      </c>
      <c r="E577" s="15" t="s">
        <v>5843</v>
      </c>
      <c r="F577" s="21" t="str">
        <f>HYPERLINK("https://psearch.kitsapgov.com/webappa/index.html?parcelID=1139708&amp;Theme=Imagery","1139708")</f>
        <v>1139708</v>
      </c>
      <c r="G577" s="16" t="s">
        <v>5844</v>
      </c>
      <c r="H577" s="17">
        <v>43245</v>
      </c>
      <c r="I577" s="18">
        <v>469600</v>
      </c>
      <c r="J577" s="19">
        <v>0.28999999999999998</v>
      </c>
      <c r="K577" s="16" t="s">
        <v>218</v>
      </c>
      <c r="L577" s="16" t="s">
        <v>4645</v>
      </c>
      <c r="M577" s="16" t="s">
        <v>5839</v>
      </c>
      <c r="N577" s="16" t="s">
        <v>5840</v>
      </c>
    </row>
    <row r="578" spans="1:14" ht="39.950000000000003" customHeight="1" x14ac:dyDescent="0.25">
      <c r="A578" s="15" t="s">
        <v>5845</v>
      </c>
      <c r="B578" s="16" t="s">
        <v>330</v>
      </c>
      <c r="C578" s="15">
        <v>8100510</v>
      </c>
      <c r="D578" s="16" t="s">
        <v>401</v>
      </c>
      <c r="E578" s="15" t="s">
        <v>5846</v>
      </c>
      <c r="F578" s="21" t="str">
        <f>HYPERLINK("https://psearch.kitsapgov.com/webappa/index.html?parcelID=1438381&amp;Theme=Imagery","1438381")</f>
        <v>1438381</v>
      </c>
      <c r="G578" s="16" t="s">
        <v>5847</v>
      </c>
      <c r="H578" s="17">
        <v>43229</v>
      </c>
      <c r="I578" s="18">
        <v>210000</v>
      </c>
      <c r="J578" s="19">
        <v>0.14000000000000001</v>
      </c>
      <c r="K578" s="16" t="s">
        <v>28</v>
      </c>
      <c r="L578" s="16" t="s">
        <v>4645</v>
      </c>
      <c r="M578" s="16" t="s">
        <v>5848</v>
      </c>
      <c r="N578" s="16" t="s">
        <v>5849</v>
      </c>
    </row>
    <row r="579" spans="1:14" ht="20.100000000000001" customHeight="1" x14ac:dyDescent="0.25">
      <c r="A579" s="15" t="s">
        <v>5845</v>
      </c>
      <c r="B579" s="16" t="s">
        <v>239</v>
      </c>
      <c r="C579" s="15">
        <v>8100510</v>
      </c>
      <c r="D579" s="16" t="s">
        <v>401</v>
      </c>
      <c r="E579" s="15" t="s">
        <v>5850</v>
      </c>
      <c r="F579" s="21" t="str">
        <f>HYPERLINK("https://psearch.kitsapgov.com/webappa/index.html?parcelID=1438415&amp;Theme=Imagery","1438415")</f>
        <v>1438415</v>
      </c>
      <c r="G579" s="16" t="s">
        <v>5851</v>
      </c>
      <c r="H579" s="17">
        <v>43229</v>
      </c>
      <c r="I579" s="18">
        <v>210000</v>
      </c>
      <c r="J579" s="19">
        <v>0.21</v>
      </c>
      <c r="K579" s="16" t="s">
        <v>28</v>
      </c>
      <c r="L579" s="16" t="s">
        <v>4645</v>
      </c>
      <c r="M579" s="16" t="s">
        <v>5848</v>
      </c>
      <c r="N579" s="16" t="s">
        <v>5849</v>
      </c>
    </row>
    <row r="580" spans="1:14" ht="39.950000000000003" customHeight="1" x14ac:dyDescent="0.25">
      <c r="A580" s="15" t="s">
        <v>5852</v>
      </c>
      <c r="B580" s="16" t="s">
        <v>89</v>
      </c>
      <c r="C580" s="15">
        <v>8100510</v>
      </c>
      <c r="D580" s="16" t="s">
        <v>401</v>
      </c>
      <c r="E580" s="15" t="s">
        <v>5853</v>
      </c>
      <c r="F580" s="21" t="str">
        <f>HYPERLINK("https://psearch.kitsapgov.com/webappa/index.html?parcelID=1437896&amp;Theme=Imagery","1437896")</f>
        <v>1437896</v>
      </c>
      <c r="G580" s="16" t="s">
        <v>5854</v>
      </c>
      <c r="H580" s="17">
        <v>43252</v>
      </c>
      <c r="I580" s="18">
        <v>650000</v>
      </c>
      <c r="J580" s="19">
        <v>0.23</v>
      </c>
      <c r="K580" s="16" t="s">
        <v>28</v>
      </c>
      <c r="L580" s="16" t="s">
        <v>4656</v>
      </c>
      <c r="M580" s="16" t="s">
        <v>5855</v>
      </c>
      <c r="N580" s="16" t="s">
        <v>5856</v>
      </c>
    </row>
    <row r="581" spans="1:14" ht="20.100000000000001" customHeight="1" x14ac:dyDescent="0.25">
      <c r="A581" s="15" t="s">
        <v>5852</v>
      </c>
      <c r="B581" s="16" t="s">
        <v>57</v>
      </c>
      <c r="C581" s="15">
        <v>7100541</v>
      </c>
      <c r="D581" s="16" t="s">
        <v>5599</v>
      </c>
      <c r="E581" s="15" t="s">
        <v>5857</v>
      </c>
      <c r="F581" s="21" t="str">
        <f>HYPERLINK("https://psearch.kitsapgov.com/webappa/index.html?parcelID=1437920&amp;Theme=Imagery","1437920")</f>
        <v>1437920</v>
      </c>
      <c r="G581" s="16" t="s">
        <v>107</v>
      </c>
      <c r="H581" s="17">
        <v>43252</v>
      </c>
      <c r="I581" s="18">
        <v>650000</v>
      </c>
      <c r="J581" s="19">
        <v>0.06</v>
      </c>
      <c r="K581" s="16" t="s">
        <v>235</v>
      </c>
      <c r="L581" s="16" t="s">
        <v>4656</v>
      </c>
      <c r="M581" s="16" t="s">
        <v>5855</v>
      </c>
      <c r="N581" s="16" t="s">
        <v>5856</v>
      </c>
    </row>
    <row r="582" spans="1:14" ht="39.950000000000003" customHeight="1" x14ac:dyDescent="0.25">
      <c r="A582" s="15" t="s">
        <v>5858</v>
      </c>
      <c r="B582" s="16" t="s">
        <v>1031</v>
      </c>
      <c r="C582" s="15">
        <v>8401101</v>
      </c>
      <c r="D582" s="16" t="s">
        <v>185</v>
      </c>
      <c r="E582" s="15" t="s">
        <v>5859</v>
      </c>
      <c r="F582" s="21" t="str">
        <f>HYPERLINK("https://psearch.kitsapgov.com/webappa/index.html?parcelID=1238682&amp;Theme=Imagery","1238682")</f>
        <v>1238682</v>
      </c>
      <c r="G582" s="16" t="s">
        <v>5860</v>
      </c>
      <c r="H582" s="17">
        <v>43265</v>
      </c>
      <c r="I582" s="18">
        <v>12150000</v>
      </c>
      <c r="J582" s="19">
        <v>4.84</v>
      </c>
      <c r="K582" s="16" t="s">
        <v>188</v>
      </c>
      <c r="L582" s="16" t="s">
        <v>4656</v>
      </c>
      <c r="M582" s="16" t="s">
        <v>5861</v>
      </c>
      <c r="N582" s="16" t="s">
        <v>5862</v>
      </c>
    </row>
    <row r="583" spans="1:14" ht="20.100000000000001" customHeight="1" x14ac:dyDescent="0.25">
      <c r="A583" s="15" t="s">
        <v>5858</v>
      </c>
      <c r="B583" s="16" t="s">
        <v>1031</v>
      </c>
      <c r="C583" s="15">
        <v>8401101</v>
      </c>
      <c r="D583" s="16" t="s">
        <v>185</v>
      </c>
      <c r="E583" s="15" t="s">
        <v>5863</v>
      </c>
      <c r="F583" s="21" t="str">
        <f>HYPERLINK("https://psearch.kitsapgov.com/webappa/index.html?parcelID=1238708&amp;Theme=Imagery","1238708")</f>
        <v>1238708</v>
      </c>
      <c r="G583" s="16" t="s">
        <v>5864</v>
      </c>
      <c r="H583" s="17">
        <v>43265</v>
      </c>
      <c r="I583" s="18">
        <v>12150000</v>
      </c>
      <c r="J583" s="19">
        <v>1.2</v>
      </c>
      <c r="K583" s="16" t="s">
        <v>188</v>
      </c>
      <c r="L583" s="16" t="s">
        <v>4656</v>
      </c>
      <c r="M583" s="16" t="s">
        <v>5861</v>
      </c>
      <c r="N583" s="16" t="s">
        <v>5862</v>
      </c>
    </row>
    <row r="584" spans="1:14" ht="39.950000000000003" customHeight="1" x14ac:dyDescent="0.25">
      <c r="A584" s="15" t="s">
        <v>5865</v>
      </c>
      <c r="B584" s="16" t="s">
        <v>57</v>
      </c>
      <c r="C584" s="15">
        <v>7400207</v>
      </c>
      <c r="D584" s="16" t="s">
        <v>5866</v>
      </c>
      <c r="E584" s="15" t="s">
        <v>5867</v>
      </c>
      <c r="F584" s="21" t="str">
        <f>HYPERLINK("https://psearch.kitsapgov.com/webappa/index.html?parcelID=1623792&amp;Theme=Imagery","1623792")</f>
        <v>1623792</v>
      </c>
      <c r="G584" s="16" t="s">
        <v>107</v>
      </c>
      <c r="H584" s="17">
        <v>43264</v>
      </c>
      <c r="I584" s="18">
        <v>1350000</v>
      </c>
      <c r="J584" s="19">
        <v>0.14000000000000001</v>
      </c>
      <c r="K584" s="16" t="s">
        <v>5868</v>
      </c>
      <c r="L584" s="16" t="s">
        <v>4656</v>
      </c>
      <c r="M584" s="16" t="s">
        <v>5869</v>
      </c>
      <c r="N584" s="16" t="s">
        <v>5870</v>
      </c>
    </row>
    <row r="585" spans="1:14" ht="20.100000000000001" customHeight="1" x14ac:dyDescent="0.25">
      <c r="A585" s="15" t="s">
        <v>5865</v>
      </c>
      <c r="B585" s="16" t="s">
        <v>57</v>
      </c>
      <c r="C585" s="15">
        <v>7400207</v>
      </c>
      <c r="D585" s="16" t="s">
        <v>5866</v>
      </c>
      <c r="E585" s="15" t="s">
        <v>5871</v>
      </c>
      <c r="F585" s="21" t="str">
        <f>HYPERLINK("https://psearch.kitsapgov.com/webappa/index.html?parcelID=1623800&amp;Theme=Imagery","1623800")</f>
        <v>1623800</v>
      </c>
      <c r="G585" s="16" t="s">
        <v>107</v>
      </c>
      <c r="H585" s="17">
        <v>43264</v>
      </c>
      <c r="I585" s="18">
        <v>1350000</v>
      </c>
      <c r="J585" s="19">
        <v>0.14000000000000001</v>
      </c>
      <c r="K585" s="16" t="s">
        <v>5868</v>
      </c>
      <c r="L585" s="16" t="s">
        <v>4656</v>
      </c>
      <c r="M585" s="16" t="s">
        <v>5869</v>
      </c>
      <c r="N585" s="16" t="s">
        <v>5870</v>
      </c>
    </row>
    <row r="586" spans="1:14" ht="20.100000000000001" customHeight="1" x14ac:dyDescent="0.25">
      <c r="A586" s="15" t="s">
        <v>5865</v>
      </c>
      <c r="B586" s="16" t="s">
        <v>57</v>
      </c>
      <c r="C586" s="15">
        <v>7400207</v>
      </c>
      <c r="D586" s="16" t="s">
        <v>5866</v>
      </c>
      <c r="E586" s="15" t="s">
        <v>5872</v>
      </c>
      <c r="F586" s="21" t="str">
        <f>HYPERLINK("https://psearch.kitsapgov.com/webappa/index.html?parcelID=1623818&amp;Theme=Imagery","1623818")</f>
        <v>1623818</v>
      </c>
      <c r="G586" s="16" t="s">
        <v>107</v>
      </c>
      <c r="H586" s="17">
        <v>43264</v>
      </c>
      <c r="I586" s="18">
        <v>1350000</v>
      </c>
      <c r="J586" s="19">
        <v>7.0000000000000007E-2</v>
      </c>
      <c r="K586" s="16" t="s">
        <v>5868</v>
      </c>
      <c r="L586" s="16" t="s">
        <v>4656</v>
      </c>
      <c r="M586" s="16" t="s">
        <v>5869</v>
      </c>
      <c r="N586" s="16" t="s">
        <v>5870</v>
      </c>
    </row>
    <row r="587" spans="1:14" ht="20.100000000000001" customHeight="1" x14ac:dyDescent="0.25">
      <c r="A587" s="15" t="s">
        <v>5865</v>
      </c>
      <c r="B587" s="16" t="s">
        <v>89</v>
      </c>
      <c r="C587" s="15">
        <v>8400208</v>
      </c>
      <c r="D587" s="16" t="s">
        <v>5873</v>
      </c>
      <c r="E587" s="15" t="s">
        <v>5874</v>
      </c>
      <c r="F587" s="21" t="str">
        <f>HYPERLINK("https://psearch.kitsapgov.com/webappa/index.html?parcelID=1629070&amp;Theme=Imagery","1629070")</f>
        <v>1629070</v>
      </c>
      <c r="G587" s="16" t="s">
        <v>5875</v>
      </c>
      <c r="H587" s="17">
        <v>43264</v>
      </c>
      <c r="I587" s="18">
        <v>1350000</v>
      </c>
      <c r="J587" s="19">
        <v>0.34</v>
      </c>
      <c r="K587" s="16" t="s">
        <v>5876</v>
      </c>
      <c r="L587" s="16" t="s">
        <v>4656</v>
      </c>
      <c r="M587" s="16" t="s">
        <v>5869</v>
      </c>
      <c r="N587" s="16" t="s">
        <v>5870</v>
      </c>
    </row>
    <row r="588" spans="1:14" ht="39.950000000000003" customHeight="1" x14ac:dyDescent="0.25">
      <c r="A588" s="15" t="s">
        <v>5877</v>
      </c>
      <c r="B588" s="16" t="s">
        <v>393</v>
      </c>
      <c r="C588" s="15">
        <v>9100542</v>
      </c>
      <c r="D588" s="16" t="s">
        <v>454</v>
      </c>
      <c r="E588" s="15" t="s">
        <v>5878</v>
      </c>
      <c r="F588" s="21" t="str">
        <f>HYPERLINK("https://psearch.kitsapgov.com/webappa/index.html?parcelID=2324564&amp;Theme=Imagery","2324564")</f>
        <v>2324564</v>
      </c>
      <c r="G588" s="16" t="s">
        <v>5879</v>
      </c>
      <c r="H588" s="17">
        <v>43266</v>
      </c>
      <c r="I588" s="18">
        <v>8000000</v>
      </c>
      <c r="J588" s="19">
        <v>7.03</v>
      </c>
      <c r="K588" s="16" t="s">
        <v>85</v>
      </c>
      <c r="L588" s="16" t="s">
        <v>4656</v>
      </c>
      <c r="M588" s="16" t="s">
        <v>5880</v>
      </c>
      <c r="N588" s="16" t="s">
        <v>5881</v>
      </c>
    </row>
    <row r="589" spans="1:14" ht="20.100000000000001" customHeight="1" x14ac:dyDescent="0.25">
      <c r="A589" s="15" t="s">
        <v>5877</v>
      </c>
      <c r="B589" s="16" t="s">
        <v>57</v>
      </c>
      <c r="C589" s="15">
        <v>7100542</v>
      </c>
      <c r="D589" s="16" t="s">
        <v>5882</v>
      </c>
      <c r="E589" s="15" t="s">
        <v>5883</v>
      </c>
      <c r="F589" s="21" t="str">
        <f>HYPERLINK("https://psearch.kitsapgov.com/webappa/index.html?parcelID=2324572&amp;Theme=Imagery","2324572")</f>
        <v>2324572</v>
      </c>
      <c r="G589" s="16" t="s">
        <v>107</v>
      </c>
      <c r="H589" s="17">
        <v>43266</v>
      </c>
      <c r="I589" s="18">
        <v>8000000</v>
      </c>
      <c r="J589" s="19">
        <v>0.19</v>
      </c>
      <c r="K589" s="16" t="s">
        <v>235</v>
      </c>
      <c r="L589" s="16" t="s">
        <v>4656</v>
      </c>
      <c r="M589" s="16" t="s">
        <v>5880</v>
      </c>
      <c r="N589" s="16" t="s">
        <v>5881</v>
      </c>
    </row>
    <row r="590" spans="1:14" ht="39.950000000000003" customHeight="1" x14ac:dyDescent="0.25">
      <c r="A590" s="15" t="s">
        <v>5884</v>
      </c>
      <c r="B590" s="16" t="s">
        <v>381</v>
      </c>
      <c r="C590" s="15">
        <v>9100541</v>
      </c>
      <c r="D590" s="16" t="s">
        <v>215</v>
      </c>
      <c r="E590" s="15" t="s">
        <v>5885</v>
      </c>
      <c r="F590" s="21" t="str">
        <f>HYPERLINK("https://psearch.kitsapgov.com/webappa/index.html?parcelID=2171395&amp;Theme=Imagery","2171395")</f>
        <v>2171395</v>
      </c>
      <c r="G590" s="16" t="s">
        <v>5886</v>
      </c>
      <c r="H590" s="17">
        <v>43258</v>
      </c>
      <c r="I590" s="18">
        <v>1375000</v>
      </c>
      <c r="J590" s="19">
        <v>0.21</v>
      </c>
      <c r="K590" s="16" t="s">
        <v>218</v>
      </c>
      <c r="L590" s="16" t="s">
        <v>4656</v>
      </c>
      <c r="M590" s="16" t="s">
        <v>5887</v>
      </c>
      <c r="N590" s="16" t="s">
        <v>5888</v>
      </c>
    </row>
    <row r="591" spans="1:14" ht="20.100000000000001" customHeight="1" x14ac:dyDescent="0.25">
      <c r="A591" s="15" t="s">
        <v>5884</v>
      </c>
      <c r="B591" s="16" t="s">
        <v>330</v>
      </c>
      <c r="C591" s="15">
        <v>9100541</v>
      </c>
      <c r="D591" s="16" t="s">
        <v>215</v>
      </c>
      <c r="E591" s="15" t="s">
        <v>5889</v>
      </c>
      <c r="F591" s="21" t="str">
        <f>HYPERLINK("https://psearch.kitsapgov.com/webappa/index.html?parcelID=2432466&amp;Theme=Imagery","2432466")</f>
        <v>2432466</v>
      </c>
      <c r="G591" s="16" t="s">
        <v>5890</v>
      </c>
      <c r="H591" s="17">
        <v>43258</v>
      </c>
      <c r="I591" s="18">
        <v>1375000</v>
      </c>
      <c r="J591" s="19">
        <v>0.13</v>
      </c>
      <c r="K591" s="16" t="s">
        <v>218</v>
      </c>
      <c r="L591" s="16" t="s">
        <v>4656</v>
      </c>
      <c r="M591" s="16" t="s">
        <v>5887</v>
      </c>
      <c r="N591" s="16" t="s">
        <v>5888</v>
      </c>
    </row>
    <row r="592" spans="1:14" ht="39.950000000000003" customHeight="1" x14ac:dyDescent="0.25">
      <c r="A592" s="15" t="s">
        <v>5891</v>
      </c>
      <c r="B592" s="16" t="s">
        <v>57</v>
      </c>
      <c r="C592" s="15">
        <v>8400202</v>
      </c>
      <c r="D592" s="16" t="s">
        <v>158</v>
      </c>
      <c r="E592" s="15" t="s">
        <v>5892</v>
      </c>
      <c r="F592" s="21" t="str">
        <f>HYPERLINK("https://psearch.kitsapgov.com/webappa/index.html?parcelID=2600484&amp;Theme=Imagery","2600484")</f>
        <v>2600484</v>
      </c>
      <c r="G592" s="16" t="s">
        <v>5893</v>
      </c>
      <c r="H592" s="17">
        <v>43277</v>
      </c>
      <c r="I592" s="18">
        <v>510000</v>
      </c>
      <c r="J592" s="19">
        <v>2.19</v>
      </c>
      <c r="K592" s="16" t="s">
        <v>100</v>
      </c>
      <c r="L592" s="16" t="s">
        <v>174</v>
      </c>
      <c r="M592" s="16" t="s">
        <v>5894</v>
      </c>
      <c r="N592" s="16" t="s">
        <v>5895</v>
      </c>
    </row>
    <row r="593" spans="1:14" ht="20.100000000000001" customHeight="1" x14ac:dyDescent="0.25">
      <c r="A593" s="15" t="s">
        <v>5891</v>
      </c>
      <c r="B593" s="16" t="s">
        <v>57</v>
      </c>
      <c r="C593" s="15">
        <v>8400202</v>
      </c>
      <c r="D593" s="16" t="s">
        <v>158</v>
      </c>
      <c r="E593" s="15" t="s">
        <v>5896</v>
      </c>
      <c r="F593" s="21" t="str">
        <f>HYPERLINK("https://psearch.kitsapgov.com/webappa/index.html?parcelID=2600492&amp;Theme=Imagery","2600492")</f>
        <v>2600492</v>
      </c>
      <c r="G593" s="16" t="s">
        <v>5897</v>
      </c>
      <c r="H593" s="17">
        <v>43277</v>
      </c>
      <c r="I593" s="18">
        <v>510000</v>
      </c>
      <c r="J593" s="19">
        <v>1.26</v>
      </c>
      <c r="K593" s="16" t="s">
        <v>100</v>
      </c>
      <c r="L593" s="16" t="s">
        <v>174</v>
      </c>
      <c r="M593" s="16" t="s">
        <v>5894</v>
      </c>
      <c r="N593" s="16" t="s">
        <v>5895</v>
      </c>
    </row>
    <row r="594" spans="1:14" ht="20.100000000000001" customHeight="1" x14ac:dyDescent="0.25">
      <c r="A594" s="15" t="s">
        <v>5891</v>
      </c>
      <c r="B594" s="16" t="s">
        <v>57</v>
      </c>
      <c r="C594" s="15">
        <v>8400202</v>
      </c>
      <c r="D594" s="16" t="s">
        <v>158</v>
      </c>
      <c r="E594" s="15" t="s">
        <v>5898</v>
      </c>
      <c r="F594" s="21" t="str">
        <f>HYPERLINK("https://psearch.kitsapgov.com/webappa/index.html?parcelID=2600500&amp;Theme=Imagery","2600500")</f>
        <v>2600500</v>
      </c>
      <c r="G594" s="16" t="s">
        <v>5899</v>
      </c>
      <c r="H594" s="17">
        <v>43277</v>
      </c>
      <c r="I594" s="18">
        <v>510000</v>
      </c>
      <c r="J594" s="19">
        <v>1.91</v>
      </c>
      <c r="K594" s="16" t="s">
        <v>100</v>
      </c>
      <c r="L594" s="16" t="s">
        <v>174</v>
      </c>
      <c r="M594" s="16" t="s">
        <v>5894</v>
      </c>
      <c r="N594" s="16" t="s">
        <v>5895</v>
      </c>
    </row>
    <row r="595" spans="1:14" ht="20.100000000000001" customHeight="1" x14ac:dyDescent="0.25">
      <c r="A595" s="15" t="s">
        <v>5891</v>
      </c>
      <c r="B595" s="16" t="s">
        <v>57</v>
      </c>
      <c r="C595" s="15">
        <v>8400202</v>
      </c>
      <c r="D595" s="16" t="s">
        <v>158</v>
      </c>
      <c r="E595" s="15" t="s">
        <v>5900</v>
      </c>
      <c r="F595" s="21" t="str">
        <f>HYPERLINK("https://psearch.kitsapgov.com/webappa/index.html?parcelID=2600518&amp;Theme=Imagery","2600518")</f>
        <v>2600518</v>
      </c>
      <c r="G595" s="16" t="s">
        <v>5897</v>
      </c>
      <c r="H595" s="17">
        <v>43277</v>
      </c>
      <c r="I595" s="18">
        <v>510000</v>
      </c>
      <c r="J595" s="19">
        <v>0.85</v>
      </c>
      <c r="K595" s="16" t="s">
        <v>100</v>
      </c>
      <c r="L595" s="16" t="s">
        <v>174</v>
      </c>
      <c r="M595" s="16" t="s">
        <v>5894</v>
      </c>
      <c r="N595" s="16" t="s">
        <v>5895</v>
      </c>
    </row>
    <row r="596" spans="1:14" ht="39.950000000000003" customHeight="1" x14ac:dyDescent="0.25">
      <c r="A596" s="15" t="s">
        <v>5901</v>
      </c>
      <c r="B596" s="16" t="s">
        <v>33</v>
      </c>
      <c r="C596" s="15">
        <v>8303601</v>
      </c>
      <c r="D596" s="16" t="s">
        <v>50</v>
      </c>
      <c r="E596" s="15" t="s">
        <v>5349</v>
      </c>
      <c r="F596" s="21" t="str">
        <f>HYPERLINK("https://psearch.kitsapgov.com/webappa/index.html?parcelID=2393569&amp;Theme=Imagery","2393569")</f>
        <v>2393569</v>
      </c>
      <c r="G596" s="16" t="s">
        <v>5350</v>
      </c>
      <c r="H596" s="17">
        <v>43273</v>
      </c>
      <c r="I596" s="18">
        <v>8720000</v>
      </c>
      <c r="J596" s="19">
        <v>0.97</v>
      </c>
      <c r="K596" s="16" t="s">
        <v>1939</v>
      </c>
      <c r="L596" s="16" t="s">
        <v>4645</v>
      </c>
      <c r="M596" s="16" t="s">
        <v>5352</v>
      </c>
      <c r="N596" s="16" t="s">
        <v>5902</v>
      </c>
    </row>
    <row r="597" spans="1:14" ht="20.100000000000001" customHeight="1" x14ac:dyDescent="0.25">
      <c r="A597" s="15" t="s">
        <v>5901</v>
      </c>
      <c r="B597" s="16" t="s">
        <v>33</v>
      </c>
      <c r="C597" s="15">
        <v>8303601</v>
      </c>
      <c r="D597" s="16" t="s">
        <v>50</v>
      </c>
      <c r="E597" s="15" t="s">
        <v>5353</v>
      </c>
      <c r="F597" s="21" t="str">
        <f>HYPERLINK("https://psearch.kitsapgov.com/webappa/index.html?parcelID=2393577&amp;Theme=Imagery","2393577")</f>
        <v>2393577</v>
      </c>
      <c r="G597" s="16" t="s">
        <v>5354</v>
      </c>
      <c r="H597" s="17">
        <v>43273</v>
      </c>
      <c r="I597" s="18">
        <v>8720000</v>
      </c>
      <c r="J597" s="19">
        <v>0.72</v>
      </c>
      <c r="K597" s="16" t="s">
        <v>1939</v>
      </c>
      <c r="L597" s="16" t="s">
        <v>4645</v>
      </c>
      <c r="M597" s="16" t="s">
        <v>5352</v>
      </c>
      <c r="N597" s="16" t="s">
        <v>5902</v>
      </c>
    </row>
    <row r="598" spans="1:14" ht="20.100000000000001" customHeight="1" x14ac:dyDescent="0.25">
      <c r="A598" s="15" t="s">
        <v>5901</v>
      </c>
      <c r="B598" s="16" t="s">
        <v>33</v>
      </c>
      <c r="C598" s="15">
        <v>8303601</v>
      </c>
      <c r="D598" s="16" t="s">
        <v>50</v>
      </c>
      <c r="E598" s="15" t="s">
        <v>5355</v>
      </c>
      <c r="F598" s="21" t="str">
        <f>HYPERLINK("https://psearch.kitsapgov.com/webappa/index.html?parcelID=2393585&amp;Theme=Imagery","2393585")</f>
        <v>2393585</v>
      </c>
      <c r="G598" s="16" t="s">
        <v>5356</v>
      </c>
      <c r="H598" s="17">
        <v>43273</v>
      </c>
      <c r="I598" s="18">
        <v>8720000</v>
      </c>
      <c r="J598" s="19">
        <v>0.72</v>
      </c>
      <c r="K598" s="16" t="s">
        <v>1939</v>
      </c>
      <c r="L598" s="16" t="s">
        <v>4645</v>
      </c>
      <c r="M598" s="16" t="s">
        <v>5352</v>
      </c>
      <c r="N598" s="16" t="s">
        <v>5902</v>
      </c>
    </row>
    <row r="599" spans="1:14" ht="39.950000000000003" customHeight="1" x14ac:dyDescent="0.25">
      <c r="A599" s="15" t="s">
        <v>5903</v>
      </c>
      <c r="B599" s="16" t="s">
        <v>330</v>
      </c>
      <c r="C599" s="15">
        <v>8100501</v>
      </c>
      <c r="D599" s="16" t="s">
        <v>117</v>
      </c>
      <c r="E599" s="15" t="s">
        <v>5904</v>
      </c>
      <c r="F599" s="21" t="str">
        <f>HYPERLINK("https://psearch.kitsapgov.com/webappa/index.html?parcelID=1426568&amp;Theme=Imagery","1426568")</f>
        <v>1426568</v>
      </c>
      <c r="G599" s="16" t="s">
        <v>5905</v>
      </c>
      <c r="H599" s="17">
        <v>43276</v>
      </c>
      <c r="I599" s="18">
        <v>1100000</v>
      </c>
      <c r="J599" s="19">
        <v>0.23</v>
      </c>
      <c r="K599" s="16" t="s">
        <v>120</v>
      </c>
      <c r="L599" s="16" t="s">
        <v>4645</v>
      </c>
      <c r="M599" s="16" t="s">
        <v>5906</v>
      </c>
      <c r="N599" s="16" t="s">
        <v>2163</v>
      </c>
    </row>
    <row r="600" spans="1:14" ht="20.100000000000001" customHeight="1" x14ac:dyDescent="0.25">
      <c r="A600" s="15" t="s">
        <v>5903</v>
      </c>
      <c r="B600" s="16" t="s">
        <v>24</v>
      </c>
      <c r="C600" s="15">
        <v>8100501</v>
      </c>
      <c r="D600" s="16" t="s">
        <v>117</v>
      </c>
      <c r="E600" s="15" t="s">
        <v>5907</v>
      </c>
      <c r="F600" s="21" t="str">
        <f>HYPERLINK("https://psearch.kitsapgov.com/webappa/index.html?parcelID=1426576&amp;Theme=Imagery","1426576")</f>
        <v>1426576</v>
      </c>
      <c r="G600" s="16" t="s">
        <v>5908</v>
      </c>
      <c r="H600" s="17">
        <v>43276</v>
      </c>
      <c r="I600" s="18">
        <v>1100000</v>
      </c>
      <c r="J600" s="19">
        <v>0.17</v>
      </c>
      <c r="K600" s="16" t="s">
        <v>120</v>
      </c>
      <c r="L600" s="16" t="s">
        <v>4645</v>
      </c>
      <c r="M600" s="16" t="s">
        <v>5906</v>
      </c>
      <c r="N600" s="16" t="s">
        <v>2163</v>
      </c>
    </row>
    <row r="601" spans="1:14" ht="39.950000000000003" customHeight="1" x14ac:dyDescent="0.25">
      <c r="A601" s="15" t="s">
        <v>5909</v>
      </c>
      <c r="B601" s="16" t="s">
        <v>96</v>
      </c>
      <c r="C601" s="15">
        <v>8401104</v>
      </c>
      <c r="D601" s="16" t="s">
        <v>144</v>
      </c>
      <c r="E601" s="15" t="s">
        <v>5910</v>
      </c>
      <c r="F601" s="21" t="str">
        <f>HYPERLINK("https://psearch.kitsapgov.com/webappa/index.html?parcelID=1116680&amp;Theme=Imagery","1116680")</f>
        <v>1116680</v>
      </c>
      <c r="G601" s="16" t="s">
        <v>5911</v>
      </c>
      <c r="H601" s="17">
        <v>43283</v>
      </c>
      <c r="I601" s="18">
        <v>423383</v>
      </c>
      <c r="J601" s="19">
        <v>0.17</v>
      </c>
      <c r="K601" s="16" t="s">
        <v>194</v>
      </c>
      <c r="L601" s="16" t="s">
        <v>20</v>
      </c>
      <c r="M601" s="16" t="s">
        <v>5912</v>
      </c>
      <c r="N601" s="16" t="s">
        <v>2414</v>
      </c>
    </row>
    <row r="602" spans="1:14" ht="20.100000000000001" customHeight="1" x14ac:dyDescent="0.25">
      <c r="A602" s="15" t="s">
        <v>5909</v>
      </c>
      <c r="B602" s="16" t="s">
        <v>57</v>
      </c>
      <c r="C602" s="15">
        <v>8401104</v>
      </c>
      <c r="D602" s="16" t="s">
        <v>144</v>
      </c>
      <c r="E602" s="15" t="s">
        <v>5913</v>
      </c>
      <c r="F602" s="21" t="str">
        <f>HYPERLINK("https://psearch.kitsapgov.com/webappa/index.html?parcelID=1116698&amp;Theme=Imagery","1116698")</f>
        <v>1116698</v>
      </c>
      <c r="G602" s="16" t="s">
        <v>5914</v>
      </c>
      <c r="H602" s="17">
        <v>43283</v>
      </c>
      <c r="I602" s="18">
        <v>423383</v>
      </c>
      <c r="J602" s="19">
        <v>0.06</v>
      </c>
      <c r="K602" s="16" t="s">
        <v>194</v>
      </c>
      <c r="L602" s="16" t="s">
        <v>20</v>
      </c>
      <c r="M602" s="16" t="s">
        <v>5912</v>
      </c>
      <c r="N602" s="16" t="s">
        <v>2414</v>
      </c>
    </row>
    <row r="603" spans="1:14" ht="39.950000000000003" customHeight="1" x14ac:dyDescent="0.25">
      <c r="A603" s="15" t="s">
        <v>5915</v>
      </c>
      <c r="B603" s="16" t="s">
        <v>57</v>
      </c>
      <c r="C603" s="15">
        <v>7100541</v>
      </c>
      <c r="D603" s="16" t="s">
        <v>5599</v>
      </c>
      <c r="E603" s="15" t="s">
        <v>5916</v>
      </c>
      <c r="F603" s="21" t="str">
        <f>HYPERLINK("https://psearch.kitsapgov.com/webappa/index.html?parcelID=2362309&amp;Theme=Imagery","2362309")</f>
        <v>2362309</v>
      </c>
      <c r="G603" s="16" t="s">
        <v>5917</v>
      </c>
      <c r="H603" s="17">
        <v>43307</v>
      </c>
      <c r="I603" s="18">
        <v>1375000</v>
      </c>
      <c r="J603" s="19">
        <v>33.869999999999997</v>
      </c>
      <c r="K603" s="16" t="s">
        <v>235</v>
      </c>
      <c r="L603" s="16" t="s">
        <v>4645</v>
      </c>
      <c r="M603" s="16" t="s">
        <v>3599</v>
      </c>
      <c r="N603" s="16" t="s">
        <v>5918</v>
      </c>
    </row>
    <row r="604" spans="1:14" ht="20.100000000000001" customHeight="1" x14ac:dyDescent="0.25">
      <c r="A604" s="15" t="s">
        <v>5915</v>
      </c>
      <c r="B604" s="16" t="s">
        <v>57</v>
      </c>
      <c r="C604" s="15">
        <v>8100502</v>
      </c>
      <c r="D604" s="16" t="s">
        <v>67</v>
      </c>
      <c r="E604" s="15" t="s">
        <v>5919</v>
      </c>
      <c r="F604" s="21" t="str">
        <f>HYPERLINK("https://psearch.kitsapgov.com/webappa/index.html?parcelID=2505394&amp;Theme=Imagery","2505394")</f>
        <v>2505394</v>
      </c>
      <c r="G604" s="16" t="s">
        <v>5920</v>
      </c>
      <c r="H604" s="17">
        <v>43307</v>
      </c>
      <c r="I604" s="18">
        <v>1375000</v>
      </c>
      <c r="J604" s="19">
        <v>1.08</v>
      </c>
      <c r="K604" s="16" t="s">
        <v>173</v>
      </c>
      <c r="L604" s="16" t="s">
        <v>4645</v>
      </c>
      <c r="M604" s="16" t="s">
        <v>3599</v>
      </c>
      <c r="N604" s="16" t="s">
        <v>5918</v>
      </c>
    </row>
    <row r="605" spans="1:14" ht="39.950000000000003" customHeight="1" x14ac:dyDescent="0.25">
      <c r="A605" s="15" t="s">
        <v>5921</v>
      </c>
      <c r="B605" s="16" t="s">
        <v>1893</v>
      </c>
      <c r="C605" s="15">
        <v>8401104</v>
      </c>
      <c r="D605" s="16" t="s">
        <v>144</v>
      </c>
      <c r="E605" s="15" t="s">
        <v>5922</v>
      </c>
      <c r="F605" s="21" t="str">
        <f>HYPERLINK("https://psearch.kitsapgov.com/webappa/index.html?parcelID=1244235&amp;Theme=Imagery","1244235")</f>
        <v>1244235</v>
      </c>
      <c r="G605" s="16" t="s">
        <v>5923</v>
      </c>
      <c r="H605" s="17">
        <v>43304</v>
      </c>
      <c r="I605" s="18">
        <v>241500</v>
      </c>
      <c r="J605" s="19">
        <v>9.5</v>
      </c>
      <c r="K605" s="16" t="s">
        <v>61</v>
      </c>
      <c r="L605" s="16" t="s">
        <v>246</v>
      </c>
      <c r="M605" s="16" t="s">
        <v>5924</v>
      </c>
      <c r="N605" s="16" t="s">
        <v>5925</v>
      </c>
    </row>
    <row r="606" spans="1:14" ht="20.100000000000001" customHeight="1" x14ac:dyDescent="0.25">
      <c r="A606" s="15" t="s">
        <v>5921</v>
      </c>
      <c r="B606" s="16" t="s">
        <v>1893</v>
      </c>
      <c r="C606" s="15">
        <v>8401104</v>
      </c>
      <c r="D606" s="16" t="s">
        <v>144</v>
      </c>
      <c r="E606" s="15" t="s">
        <v>5926</v>
      </c>
      <c r="F606" s="21" t="str">
        <f>HYPERLINK("https://psearch.kitsapgov.com/webappa/index.html?parcelID=1244250&amp;Theme=Imagery","1244250")</f>
        <v>1244250</v>
      </c>
      <c r="G606" s="16" t="s">
        <v>5923</v>
      </c>
      <c r="H606" s="17">
        <v>43304</v>
      </c>
      <c r="I606" s="18">
        <v>241500</v>
      </c>
      <c r="J606" s="19">
        <v>19.28</v>
      </c>
      <c r="K606" s="16" t="s">
        <v>61</v>
      </c>
      <c r="L606" s="16" t="s">
        <v>246</v>
      </c>
      <c r="M606" s="16" t="s">
        <v>5924</v>
      </c>
      <c r="N606" s="16" t="s">
        <v>5925</v>
      </c>
    </row>
    <row r="607" spans="1:14" ht="39.950000000000003" customHeight="1" x14ac:dyDescent="0.25">
      <c r="A607" s="15" t="s">
        <v>5927</v>
      </c>
      <c r="B607" s="16" t="s">
        <v>33</v>
      </c>
      <c r="C607" s="15">
        <v>8402306</v>
      </c>
      <c r="D607" s="16" t="s">
        <v>34</v>
      </c>
      <c r="E607" s="15" t="s">
        <v>5928</v>
      </c>
      <c r="F607" s="21" t="str">
        <f>HYPERLINK("https://psearch.kitsapgov.com/webappa/index.html?parcelID=1505874&amp;Theme=Imagery","1505874")</f>
        <v>1505874</v>
      </c>
      <c r="G607" s="16" t="s">
        <v>5929</v>
      </c>
      <c r="H607" s="17">
        <v>43306</v>
      </c>
      <c r="I607" s="18">
        <v>900000</v>
      </c>
      <c r="J607" s="19">
        <v>0.91</v>
      </c>
      <c r="K607" s="16" t="s">
        <v>371</v>
      </c>
      <c r="L607" s="16" t="s">
        <v>4645</v>
      </c>
      <c r="M607" s="16" t="s">
        <v>5930</v>
      </c>
      <c r="N607" s="16" t="s">
        <v>5931</v>
      </c>
    </row>
    <row r="608" spans="1:14" ht="20.100000000000001" customHeight="1" x14ac:dyDescent="0.25">
      <c r="A608" s="15" t="s">
        <v>5927</v>
      </c>
      <c r="B608" s="16" t="s">
        <v>265</v>
      </c>
      <c r="C608" s="15">
        <v>8402306</v>
      </c>
      <c r="D608" s="16" t="s">
        <v>34</v>
      </c>
      <c r="E608" s="15" t="s">
        <v>5932</v>
      </c>
      <c r="F608" s="21" t="str">
        <f>HYPERLINK("https://psearch.kitsapgov.com/webappa/index.html?parcelID=1505882&amp;Theme=Imagery","1505882")</f>
        <v>1505882</v>
      </c>
      <c r="G608" s="16" t="s">
        <v>5933</v>
      </c>
      <c r="H608" s="17">
        <v>43306</v>
      </c>
      <c r="I608" s="18">
        <v>900000</v>
      </c>
      <c r="J608" s="19">
        <v>0.18</v>
      </c>
      <c r="K608" s="16" t="s">
        <v>371</v>
      </c>
      <c r="L608" s="16" t="s">
        <v>4645</v>
      </c>
      <c r="M608" s="16" t="s">
        <v>5930</v>
      </c>
      <c r="N608" s="16" t="s">
        <v>5931</v>
      </c>
    </row>
    <row r="609" spans="1:14" ht="39.950000000000003" customHeight="1" x14ac:dyDescent="0.25">
      <c r="A609" s="15" t="s">
        <v>5934</v>
      </c>
      <c r="B609" s="16" t="s">
        <v>57</v>
      </c>
      <c r="C609" s="15">
        <v>8401104</v>
      </c>
      <c r="D609" s="16" t="s">
        <v>144</v>
      </c>
      <c r="E609" s="15" t="s">
        <v>5935</v>
      </c>
      <c r="F609" s="21" t="str">
        <f>HYPERLINK("https://psearch.kitsapgov.com/webappa/index.html?parcelID=1978220&amp;Theme=Imagery","1978220")</f>
        <v>1978220</v>
      </c>
      <c r="G609" s="16" t="s">
        <v>5936</v>
      </c>
      <c r="H609" s="17">
        <v>43322</v>
      </c>
      <c r="I609" s="18">
        <v>200000</v>
      </c>
      <c r="J609" s="19">
        <v>0.43</v>
      </c>
      <c r="K609" s="16" t="s">
        <v>61</v>
      </c>
      <c r="L609" s="16" t="s">
        <v>4645</v>
      </c>
      <c r="M609" s="16" t="s">
        <v>5937</v>
      </c>
      <c r="N609" s="16" t="s">
        <v>5938</v>
      </c>
    </row>
    <row r="610" spans="1:14" ht="20.100000000000001" customHeight="1" x14ac:dyDescent="0.25">
      <c r="A610" s="15" t="s">
        <v>5934</v>
      </c>
      <c r="B610" s="16" t="s">
        <v>57</v>
      </c>
      <c r="C610" s="15">
        <v>8401104</v>
      </c>
      <c r="D610" s="16" t="s">
        <v>144</v>
      </c>
      <c r="E610" s="15" t="s">
        <v>5939</v>
      </c>
      <c r="F610" s="21" t="str">
        <f>HYPERLINK("https://psearch.kitsapgov.com/webappa/index.html?parcelID=1978238&amp;Theme=Imagery","1978238")</f>
        <v>1978238</v>
      </c>
      <c r="G610" s="16" t="s">
        <v>5481</v>
      </c>
      <c r="H610" s="17">
        <v>43322</v>
      </c>
      <c r="I610" s="18">
        <v>200000</v>
      </c>
      <c r="J610" s="19">
        <v>0.57999999999999996</v>
      </c>
      <c r="K610" s="16" t="s">
        <v>61</v>
      </c>
      <c r="L610" s="16" t="s">
        <v>4645</v>
      </c>
      <c r="M610" s="16" t="s">
        <v>5937</v>
      </c>
      <c r="N610" s="16" t="s">
        <v>5938</v>
      </c>
    </row>
    <row r="611" spans="1:14" ht="20.100000000000001" customHeight="1" x14ac:dyDescent="0.25">
      <c r="A611" s="15" t="s">
        <v>5934</v>
      </c>
      <c r="B611" s="16" t="s">
        <v>57</v>
      </c>
      <c r="C611" s="15">
        <v>8401104</v>
      </c>
      <c r="D611" s="16" t="s">
        <v>144</v>
      </c>
      <c r="E611" s="15" t="s">
        <v>5940</v>
      </c>
      <c r="F611" s="21" t="str">
        <f>HYPERLINK("https://psearch.kitsapgov.com/webappa/index.html?parcelID=1978246&amp;Theme=Imagery","1978246")</f>
        <v>1978246</v>
      </c>
      <c r="G611" s="16" t="s">
        <v>5481</v>
      </c>
      <c r="H611" s="17">
        <v>43322</v>
      </c>
      <c r="I611" s="18">
        <v>200000</v>
      </c>
      <c r="J611" s="19">
        <v>1</v>
      </c>
      <c r="K611" s="16" t="s">
        <v>61</v>
      </c>
      <c r="L611" s="16" t="s">
        <v>4645</v>
      </c>
      <c r="M611" s="16" t="s">
        <v>5937</v>
      </c>
      <c r="N611" s="16" t="s">
        <v>5938</v>
      </c>
    </row>
    <row r="612" spans="1:14" ht="39.950000000000003" customHeight="1" x14ac:dyDescent="0.25">
      <c r="A612" s="15" t="s">
        <v>5941</v>
      </c>
      <c r="B612" s="16" t="s">
        <v>57</v>
      </c>
      <c r="C612" s="15">
        <v>8400203</v>
      </c>
      <c r="D612" s="16" t="s">
        <v>97</v>
      </c>
      <c r="E612" s="15" t="s">
        <v>5942</v>
      </c>
      <c r="F612" s="21" t="str">
        <f>HYPERLINK("https://psearch.kitsapgov.com/webappa/index.html?parcelID=1611052&amp;Theme=Imagery","1611052")</f>
        <v>1611052</v>
      </c>
      <c r="G612" s="16" t="s">
        <v>5943</v>
      </c>
      <c r="H612" s="17">
        <v>43336</v>
      </c>
      <c r="I612" s="18">
        <v>550000</v>
      </c>
      <c r="J612" s="19">
        <v>0.28000000000000003</v>
      </c>
      <c r="K612" s="16" t="s">
        <v>100</v>
      </c>
      <c r="L612" s="16" t="s">
        <v>4645</v>
      </c>
      <c r="M612" s="16" t="s">
        <v>5944</v>
      </c>
      <c r="N612" s="16" t="s">
        <v>5945</v>
      </c>
    </row>
    <row r="613" spans="1:14" ht="20.100000000000001" customHeight="1" x14ac:dyDescent="0.25">
      <c r="A613" s="15" t="s">
        <v>5941</v>
      </c>
      <c r="B613" s="16" t="s">
        <v>89</v>
      </c>
      <c r="C613" s="15">
        <v>8400203</v>
      </c>
      <c r="D613" s="16" t="s">
        <v>97</v>
      </c>
      <c r="E613" s="15" t="s">
        <v>5946</v>
      </c>
      <c r="F613" s="21" t="str">
        <f>HYPERLINK("https://psearch.kitsapgov.com/webappa/index.html?parcelID=1611060&amp;Theme=Imagery","1611060")</f>
        <v>1611060</v>
      </c>
      <c r="G613" s="16" t="s">
        <v>5947</v>
      </c>
      <c r="H613" s="17">
        <v>43336</v>
      </c>
      <c r="I613" s="18">
        <v>550000</v>
      </c>
      <c r="J613" s="19">
        <v>0.34</v>
      </c>
      <c r="K613" s="16" t="s">
        <v>100</v>
      </c>
      <c r="L613" s="16" t="s">
        <v>4645</v>
      </c>
      <c r="M613" s="16" t="s">
        <v>5944</v>
      </c>
      <c r="N613" s="16" t="s">
        <v>5945</v>
      </c>
    </row>
    <row r="614" spans="1:14" ht="39.950000000000003" customHeight="1" x14ac:dyDescent="0.25">
      <c r="A614" s="15" t="s">
        <v>5948</v>
      </c>
      <c r="B614" s="16" t="s">
        <v>4676</v>
      </c>
      <c r="C614" s="15">
        <v>8400202</v>
      </c>
      <c r="D614" s="16" t="s">
        <v>158</v>
      </c>
      <c r="E614" s="15" t="s">
        <v>5589</v>
      </c>
      <c r="F614" s="21" t="str">
        <f>HYPERLINK("https://psearch.kitsapgov.com/webappa/index.html?parcelID=2569523&amp;Theme=Imagery","2569523")</f>
        <v>2569523</v>
      </c>
      <c r="G614" s="16" t="s">
        <v>5590</v>
      </c>
      <c r="H614" s="17">
        <v>43361</v>
      </c>
      <c r="I614" s="18">
        <v>17300000</v>
      </c>
      <c r="J614" s="19">
        <v>4.88</v>
      </c>
      <c r="K614" s="16" t="s">
        <v>100</v>
      </c>
      <c r="L614" s="16" t="s">
        <v>20</v>
      </c>
      <c r="M614" s="16" t="s">
        <v>5591</v>
      </c>
      <c r="N614" s="16" t="s">
        <v>5949</v>
      </c>
    </row>
    <row r="615" spans="1:14" ht="20.100000000000001" customHeight="1" x14ac:dyDescent="0.25">
      <c r="A615" s="15" t="s">
        <v>5948</v>
      </c>
      <c r="B615" s="16" t="s">
        <v>57</v>
      </c>
      <c r="C615" s="15">
        <v>8400202</v>
      </c>
      <c r="D615" s="16" t="s">
        <v>158</v>
      </c>
      <c r="E615" s="15" t="s">
        <v>5592</v>
      </c>
      <c r="F615" s="21" t="str">
        <f>HYPERLINK("https://psearch.kitsapgov.com/webappa/index.html?parcelID=2569549&amp;Theme=Imagery","2569549")</f>
        <v>2569549</v>
      </c>
      <c r="G615" s="16" t="s">
        <v>5593</v>
      </c>
      <c r="H615" s="17">
        <v>43361</v>
      </c>
      <c r="I615" s="18">
        <v>17300000</v>
      </c>
      <c r="J615" s="19">
        <v>0.67</v>
      </c>
      <c r="K615" s="16" t="s">
        <v>100</v>
      </c>
      <c r="L615" s="16" t="s">
        <v>20</v>
      </c>
      <c r="M615" s="16" t="s">
        <v>5591</v>
      </c>
      <c r="N615" s="16" t="s">
        <v>5949</v>
      </c>
    </row>
    <row r="616" spans="1:14" ht="39.950000000000003" customHeight="1" x14ac:dyDescent="0.25">
      <c r="A616" s="15" t="s">
        <v>5950</v>
      </c>
      <c r="B616" s="16" t="s">
        <v>704</v>
      </c>
      <c r="C616" s="15">
        <v>9402390</v>
      </c>
      <c r="D616" s="16" t="s">
        <v>271</v>
      </c>
      <c r="E616" s="15" t="s">
        <v>5951</v>
      </c>
      <c r="F616" s="21" t="str">
        <f>HYPERLINK("https://psearch.kitsapgov.com/webappa/index.html?parcelID=1172980&amp;Theme=Imagery","1172980")</f>
        <v>1172980</v>
      </c>
      <c r="G616" s="16" t="s">
        <v>5952</v>
      </c>
      <c r="H616" s="17">
        <v>43367</v>
      </c>
      <c r="I616" s="18">
        <v>260000</v>
      </c>
      <c r="J616" s="19">
        <v>1.49</v>
      </c>
      <c r="K616" s="16" t="s">
        <v>5953</v>
      </c>
      <c r="L616" s="16" t="s">
        <v>4645</v>
      </c>
      <c r="M616" s="16" t="s">
        <v>5954</v>
      </c>
      <c r="N616" s="16" t="s">
        <v>5955</v>
      </c>
    </row>
    <row r="617" spans="1:14" ht="20.100000000000001" customHeight="1" x14ac:dyDescent="0.25">
      <c r="A617" s="15" t="s">
        <v>5950</v>
      </c>
      <c r="B617" s="16" t="s">
        <v>526</v>
      </c>
      <c r="C617" s="15">
        <v>9402390</v>
      </c>
      <c r="D617" s="16" t="s">
        <v>271</v>
      </c>
      <c r="E617" s="15" t="s">
        <v>1371</v>
      </c>
      <c r="F617" s="21" t="str">
        <f>HYPERLINK("https://psearch.kitsapgov.com/webappa/index.html?parcelID=1172998&amp;Theme=Imagery","1172998")</f>
        <v>1172998</v>
      </c>
      <c r="G617" s="16" t="s">
        <v>1372</v>
      </c>
      <c r="H617" s="17">
        <v>43367</v>
      </c>
      <c r="I617" s="18">
        <v>260000</v>
      </c>
      <c r="J617" s="19">
        <v>7.0000000000000007E-2</v>
      </c>
      <c r="K617" s="16" t="s">
        <v>1373</v>
      </c>
      <c r="L617" s="16" t="s">
        <v>4645</v>
      </c>
      <c r="M617" s="16" t="s">
        <v>5954</v>
      </c>
      <c r="N617" s="16" t="s">
        <v>5955</v>
      </c>
    </row>
    <row r="618" spans="1:14" ht="39.950000000000003" customHeight="1" x14ac:dyDescent="0.25">
      <c r="A618" s="15" t="s">
        <v>5956</v>
      </c>
      <c r="B618" s="16" t="s">
        <v>57</v>
      </c>
      <c r="C618" s="15">
        <v>8400202</v>
      </c>
      <c r="D618" s="16" t="s">
        <v>158</v>
      </c>
      <c r="E618" s="15" t="s">
        <v>5957</v>
      </c>
      <c r="F618" s="21" t="str">
        <f>HYPERLINK("https://psearch.kitsapgov.com/webappa/index.html?parcelID=2297257&amp;Theme=Imagery","2297257")</f>
        <v>2297257</v>
      </c>
      <c r="G618" s="16" t="s">
        <v>5958</v>
      </c>
      <c r="H618" s="17">
        <v>43374</v>
      </c>
      <c r="I618" s="18">
        <v>564000</v>
      </c>
      <c r="J618" s="19">
        <v>0.15</v>
      </c>
      <c r="K618" s="16" t="s">
        <v>100</v>
      </c>
      <c r="L618" s="16" t="s">
        <v>4645</v>
      </c>
      <c r="M618" s="16" t="s">
        <v>5959</v>
      </c>
      <c r="N618" s="16" t="s">
        <v>5960</v>
      </c>
    </row>
    <row r="619" spans="1:14" ht="20.100000000000001" customHeight="1" x14ac:dyDescent="0.25">
      <c r="A619" s="15" t="s">
        <v>5956</v>
      </c>
      <c r="B619" s="16" t="s">
        <v>96</v>
      </c>
      <c r="C619" s="15">
        <v>8400202</v>
      </c>
      <c r="D619" s="16" t="s">
        <v>158</v>
      </c>
      <c r="E619" s="15" t="s">
        <v>5961</v>
      </c>
      <c r="F619" s="21" t="str">
        <f>HYPERLINK("https://psearch.kitsapgov.com/webappa/index.html?parcelID=2297265&amp;Theme=Imagery","2297265")</f>
        <v>2297265</v>
      </c>
      <c r="G619" s="16" t="s">
        <v>5962</v>
      </c>
      <c r="H619" s="17">
        <v>43374</v>
      </c>
      <c r="I619" s="18">
        <v>564000</v>
      </c>
      <c r="J619" s="19">
        <v>0.2</v>
      </c>
      <c r="K619" s="16" t="s">
        <v>100</v>
      </c>
      <c r="L619" s="16" t="s">
        <v>4645</v>
      </c>
      <c r="M619" s="16" t="s">
        <v>5959</v>
      </c>
      <c r="N619" s="16" t="s">
        <v>5960</v>
      </c>
    </row>
    <row r="620" spans="1:14" ht="39.950000000000003" customHeight="1" x14ac:dyDescent="0.25">
      <c r="A620" s="15" t="s">
        <v>5963</v>
      </c>
      <c r="B620" s="16" t="s">
        <v>57</v>
      </c>
      <c r="C620" s="15">
        <v>8401103</v>
      </c>
      <c r="D620" s="16" t="s">
        <v>826</v>
      </c>
      <c r="E620" s="15" t="s">
        <v>5964</v>
      </c>
      <c r="F620" s="21" t="str">
        <f>HYPERLINK("https://psearch.kitsapgov.com/webappa/index.html?parcelID=1236306&amp;Theme=Imagery","1236306")</f>
        <v>1236306</v>
      </c>
      <c r="G620" s="16" t="s">
        <v>5965</v>
      </c>
      <c r="H620" s="17">
        <v>43376</v>
      </c>
      <c r="I620" s="18">
        <v>1928000</v>
      </c>
      <c r="J620" s="19">
        <v>1.18</v>
      </c>
      <c r="K620" s="16" t="s">
        <v>188</v>
      </c>
      <c r="L620" s="16" t="s">
        <v>4645</v>
      </c>
      <c r="M620" s="16" t="s">
        <v>5717</v>
      </c>
      <c r="N620" s="16" t="s">
        <v>5966</v>
      </c>
    </row>
    <row r="621" spans="1:14" ht="20.100000000000001" customHeight="1" x14ac:dyDescent="0.25">
      <c r="A621" s="15" t="s">
        <v>5963</v>
      </c>
      <c r="B621" s="16" t="s">
        <v>57</v>
      </c>
      <c r="C621" s="15">
        <v>8401103</v>
      </c>
      <c r="D621" s="16" t="s">
        <v>826</v>
      </c>
      <c r="E621" s="15" t="s">
        <v>5967</v>
      </c>
      <c r="F621" s="21" t="str">
        <f>HYPERLINK("https://psearch.kitsapgov.com/webappa/index.html?parcelID=2337244&amp;Theme=Imagery","2337244")</f>
        <v>2337244</v>
      </c>
      <c r="G621" s="16" t="s">
        <v>5968</v>
      </c>
      <c r="H621" s="17">
        <v>43376</v>
      </c>
      <c r="I621" s="18">
        <v>1928000</v>
      </c>
      <c r="J621" s="19">
        <v>0.68</v>
      </c>
      <c r="K621" s="16" t="s">
        <v>188</v>
      </c>
      <c r="L621" s="16" t="s">
        <v>4645</v>
      </c>
      <c r="M621" s="16" t="s">
        <v>5717</v>
      </c>
      <c r="N621" s="16" t="s">
        <v>5966</v>
      </c>
    </row>
    <row r="622" spans="1:14" ht="39.950000000000003" customHeight="1" x14ac:dyDescent="0.25">
      <c r="A622" s="15" t="s">
        <v>5969</v>
      </c>
      <c r="B622" s="16" t="s">
        <v>57</v>
      </c>
      <c r="C622" s="15">
        <v>8402391</v>
      </c>
      <c r="D622" s="16" t="s">
        <v>227</v>
      </c>
      <c r="E622" s="15" t="s">
        <v>5970</v>
      </c>
      <c r="F622" s="21" t="str">
        <f>HYPERLINK("https://psearch.kitsapgov.com/webappa/index.html?parcelID=1035385&amp;Theme=Imagery","1035385")</f>
        <v>1035385</v>
      </c>
      <c r="G622" s="16" t="s">
        <v>5971</v>
      </c>
      <c r="H622" s="17">
        <v>43409</v>
      </c>
      <c r="I622" s="18">
        <v>300000</v>
      </c>
      <c r="J622" s="19">
        <v>0.56000000000000005</v>
      </c>
      <c r="K622" s="16" t="s">
        <v>556</v>
      </c>
      <c r="L622" s="16" t="s">
        <v>4645</v>
      </c>
      <c r="M622" s="16" t="s">
        <v>5972</v>
      </c>
      <c r="N622" s="16" t="s">
        <v>5973</v>
      </c>
    </row>
    <row r="623" spans="1:14" ht="20.100000000000001" customHeight="1" x14ac:dyDescent="0.25">
      <c r="A623" s="15" t="s">
        <v>5969</v>
      </c>
      <c r="B623" s="16" t="s">
        <v>49</v>
      </c>
      <c r="C623" s="15">
        <v>8402391</v>
      </c>
      <c r="D623" s="16" t="s">
        <v>227</v>
      </c>
      <c r="E623" s="15" t="s">
        <v>5974</v>
      </c>
      <c r="F623" s="21" t="str">
        <f>HYPERLINK("https://psearch.kitsapgov.com/webappa/index.html?parcelID=1050194&amp;Theme=Imagery","1050194")</f>
        <v>1050194</v>
      </c>
      <c r="G623" s="16" t="s">
        <v>5975</v>
      </c>
      <c r="H623" s="17">
        <v>43409</v>
      </c>
      <c r="I623" s="18">
        <v>300000</v>
      </c>
      <c r="J623" s="19">
        <v>5.6</v>
      </c>
      <c r="K623" s="16" t="s">
        <v>556</v>
      </c>
      <c r="L623" s="16" t="s">
        <v>4645</v>
      </c>
      <c r="M623" s="16" t="s">
        <v>5972</v>
      </c>
      <c r="N623" s="16" t="s">
        <v>5973</v>
      </c>
    </row>
    <row r="624" spans="1:14" ht="39.950000000000003" customHeight="1" x14ac:dyDescent="0.25">
      <c r="A624" s="15" t="s">
        <v>5976</v>
      </c>
      <c r="B624" s="16" t="s">
        <v>49</v>
      </c>
      <c r="C624" s="15">
        <v>7100541</v>
      </c>
      <c r="D624" s="16" t="s">
        <v>5599</v>
      </c>
      <c r="E624" s="15" t="s">
        <v>5977</v>
      </c>
      <c r="F624" s="21" t="str">
        <f>HYPERLINK("https://psearch.kitsapgov.com/webappa/index.html?parcelID=1139419&amp;Theme=Imagery","1139419")</f>
        <v>1139419</v>
      </c>
      <c r="G624" s="16" t="s">
        <v>107</v>
      </c>
      <c r="H624" s="17">
        <v>43418</v>
      </c>
      <c r="I624" s="18">
        <v>1500000</v>
      </c>
      <c r="J624" s="19">
        <v>7.0000000000000007E-2</v>
      </c>
      <c r="L624" s="16" t="s">
        <v>4645</v>
      </c>
      <c r="M624" s="16" t="s">
        <v>5978</v>
      </c>
      <c r="N624" s="16" t="s">
        <v>5979</v>
      </c>
    </row>
    <row r="625" spans="1:14" ht="20.100000000000001" customHeight="1" x14ac:dyDescent="0.25">
      <c r="A625" s="15" t="s">
        <v>5976</v>
      </c>
      <c r="B625" s="16" t="s">
        <v>49</v>
      </c>
      <c r="C625" s="15">
        <v>7100541</v>
      </c>
      <c r="D625" s="16" t="s">
        <v>5599</v>
      </c>
      <c r="E625" s="15" t="s">
        <v>5980</v>
      </c>
      <c r="F625" s="21" t="str">
        <f>HYPERLINK("https://psearch.kitsapgov.com/webappa/index.html?parcelID=1139427&amp;Theme=Imagery","1139427")</f>
        <v>1139427</v>
      </c>
      <c r="G625" s="16" t="s">
        <v>107</v>
      </c>
      <c r="H625" s="17">
        <v>43418</v>
      </c>
      <c r="I625" s="18">
        <v>1500000</v>
      </c>
      <c r="J625" s="19">
        <v>7.0000000000000007E-2</v>
      </c>
      <c r="L625" s="16" t="s">
        <v>4645</v>
      </c>
      <c r="M625" s="16" t="s">
        <v>5978</v>
      </c>
      <c r="N625" s="16" t="s">
        <v>5979</v>
      </c>
    </row>
    <row r="626" spans="1:14" ht="20.100000000000001" customHeight="1" x14ac:dyDescent="0.25">
      <c r="A626" s="15" t="s">
        <v>5976</v>
      </c>
      <c r="B626" s="16" t="s">
        <v>214</v>
      </c>
      <c r="C626" s="15">
        <v>9100541</v>
      </c>
      <c r="D626" s="16" t="s">
        <v>215</v>
      </c>
      <c r="E626" s="15" t="s">
        <v>5981</v>
      </c>
      <c r="F626" s="21" t="str">
        <f>HYPERLINK("https://psearch.kitsapgov.com/webappa/index.html?parcelID=1139765&amp;Theme=Imagery","1139765")</f>
        <v>1139765</v>
      </c>
      <c r="G626" s="16" t="s">
        <v>5982</v>
      </c>
      <c r="H626" s="17">
        <v>43418</v>
      </c>
      <c r="I626" s="18">
        <v>1500000</v>
      </c>
      <c r="J626" s="19">
        <v>0.17</v>
      </c>
      <c r="K626" s="16" t="s">
        <v>218</v>
      </c>
      <c r="L626" s="16" t="s">
        <v>4645</v>
      </c>
      <c r="M626" s="16" t="s">
        <v>5978</v>
      </c>
      <c r="N626" s="16" t="s">
        <v>5979</v>
      </c>
    </row>
    <row r="627" spans="1:14" ht="20.100000000000001" customHeight="1" x14ac:dyDescent="0.25">
      <c r="A627" s="15" t="s">
        <v>5976</v>
      </c>
      <c r="B627" s="16" t="s">
        <v>214</v>
      </c>
      <c r="C627" s="15">
        <v>9100541</v>
      </c>
      <c r="D627" s="16" t="s">
        <v>215</v>
      </c>
      <c r="E627" s="15" t="s">
        <v>5983</v>
      </c>
      <c r="F627" s="21" t="str">
        <f>HYPERLINK("https://psearch.kitsapgov.com/webappa/index.html?parcelID=1139773&amp;Theme=Imagery","1139773")</f>
        <v>1139773</v>
      </c>
      <c r="G627" s="16" t="s">
        <v>5984</v>
      </c>
      <c r="H627" s="17">
        <v>43418</v>
      </c>
      <c r="I627" s="18">
        <v>1500000</v>
      </c>
      <c r="J627" s="19">
        <v>0.1</v>
      </c>
      <c r="K627" s="16" t="s">
        <v>218</v>
      </c>
      <c r="L627" s="16" t="s">
        <v>4645</v>
      </c>
      <c r="M627" s="16" t="s">
        <v>5978</v>
      </c>
      <c r="N627" s="16" t="s">
        <v>5979</v>
      </c>
    </row>
    <row r="628" spans="1:14" ht="20.100000000000001" customHeight="1" x14ac:dyDescent="0.25">
      <c r="A628" s="15" t="s">
        <v>5976</v>
      </c>
      <c r="B628" s="16" t="s">
        <v>49</v>
      </c>
      <c r="C628" s="15">
        <v>7100541</v>
      </c>
      <c r="D628" s="16" t="s">
        <v>5599</v>
      </c>
      <c r="E628" s="15" t="s">
        <v>5985</v>
      </c>
      <c r="F628" s="21" t="str">
        <f>HYPERLINK("https://psearch.kitsapgov.com/webappa/index.html?parcelID=1139781&amp;Theme=Imagery","1139781")</f>
        <v>1139781</v>
      </c>
      <c r="G628" s="16" t="s">
        <v>107</v>
      </c>
      <c r="H628" s="17">
        <v>43418</v>
      </c>
      <c r="I628" s="18">
        <v>1500000</v>
      </c>
      <c r="J628" s="19">
        <v>7.0000000000000007E-2</v>
      </c>
      <c r="L628" s="16" t="s">
        <v>4645</v>
      </c>
      <c r="M628" s="16" t="s">
        <v>5978</v>
      </c>
      <c r="N628" s="16" t="s">
        <v>5979</v>
      </c>
    </row>
    <row r="629" spans="1:14" ht="39.950000000000003" customHeight="1" x14ac:dyDescent="0.25">
      <c r="A629" s="15" t="s">
        <v>5986</v>
      </c>
      <c r="B629" s="16" t="s">
        <v>407</v>
      </c>
      <c r="C629" s="15">
        <v>8303601</v>
      </c>
      <c r="D629" s="16" t="s">
        <v>50</v>
      </c>
      <c r="E629" s="15" t="s">
        <v>5987</v>
      </c>
      <c r="F629" s="21" t="str">
        <f>HYPERLINK("https://psearch.kitsapgov.com/webappa/index.html?parcelID=2371748&amp;Theme=Imagery","2371748")</f>
        <v>2371748</v>
      </c>
      <c r="G629" s="16" t="s">
        <v>5988</v>
      </c>
      <c r="H629" s="17">
        <v>43409</v>
      </c>
      <c r="I629" s="18">
        <v>850000</v>
      </c>
      <c r="J629" s="19">
        <v>0</v>
      </c>
      <c r="L629" s="16" t="s">
        <v>4645</v>
      </c>
      <c r="M629" s="16" t="s">
        <v>5989</v>
      </c>
      <c r="N629" s="16" t="s">
        <v>5990</v>
      </c>
    </row>
    <row r="630" spans="1:14" ht="20.100000000000001" customHeight="1" x14ac:dyDescent="0.25">
      <c r="A630" s="15" t="s">
        <v>5986</v>
      </c>
      <c r="B630" s="16" t="s">
        <v>407</v>
      </c>
      <c r="C630" s="15">
        <v>8303601</v>
      </c>
      <c r="D630" s="16" t="s">
        <v>50</v>
      </c>
      <c r="E630" s="15" t="s">
        <v>5991</v>
      </c>
      <c r="F630" s="21" t="str">
        <f>HYPERLINK("https://psearch.kitsapgov.com/webappa/index.html?parcelID=2371755&amp;Theme=Imagery","2371755")</f>
        <v>2371755</v>
      </c>
      <c r="G630" s="16" t="s">
        <v>5992</v>
      </c>
      <c r="H630" s="17">
        <v>43409</v>
      </c>
      <c r="I630" s="18">
        <v>850000</v>
      </c>
      <c r="J630" s="19">
        <v>0</v>
      </c>
      <c r="L630" s="16" t="s">
        <v>4645</v>
      </c>
      <c r="M630" s="16" t="s">
        <v>5989</v>
      </c>
      <c r="N630" s="16" t="s">
        <v>5990</v>
      </c>
    </row>
    <row r="631" spans="1:14" ht="20.100000000000001" customHeight="1" x14ac:dyDescent="0.25">
      <c r="A631" s="15" t="s">
        <v>5986</v>
      </c>
      <c r="B631" s="16" t="s">
        <v>407</v>
      </c>
      <c r="C631" s="15">
        <v>8303601</v>
      </c>
      <c r="D631" s="16" t="s">
        <v>50</v>
      </c>
      <c r="E631" s="15" t="s">
        <v>5993</v>
      </c>
      <c r="F631" s="21" t="str">
        <f>HYPERLINK("https://psearch.kitsapgov.com/webappa/index.html?parcelID=2371763&amp;Theme=Imagery","2371763")</f>
        <v>2371763</v>
      </c>
      <c r="G631" s="16" t="s">
        <v>5994</v>
      </c>
      <c r="H631" s="17">
        <v>43409</v>
      </c>
      <c r="I631" s="18">
        <v>850000</v>
      </c>
      <c r="J631" s="19">
        <v>0</v>
      </c>
      <c r="L631" s="16" t="s">
        <v>4645</v>
      </c>
      <c r="M631" s="16" t="s">
        <v>5989</v>
      </c>
      <c r="N631" s="16" t="s">
        <v>5990</v>
      </c>
    </row>
    <row r="632" spans="1:14" ht="39.950000000000003" customHeight="1" x14ac:dyDescent="0.25">
      <c r="A632" s="15" t="s">
        <v>5995</v>
      </c>
      <c r="B632" s="16" t="s">
        <v>57</v>
      </c>
      <c r="C632" s="15">
        <v>8400204</v>
      </c>
      <c r="D632" s="16" t="s">
        <v>178</v>
      </c>
      <c r="E632" s="15" t="s">
        <v>4683</v>
      </c>
      <c r="F632" s="21" t="str">
        <f>HYPERLINK("https://psearch.kitsapgov.com/webappa/index.html?parcelID=2520526&amp;Theme=Imagery","2520526")</f>
        <v>2520526</v>
      </c>
      <c r="G632" s="16" t="s">
        <v>4684</v>
      </c>
      <c r="H632" s="17">
        <v>43419</v>
      </c>
      <c r="I632" s="18">
        <v>600000</v>
      </c>
      <c r="J632" s="19">
        <v>2.12</v>
      </c>
      <c r="K632" s="16" t="s">
        <v>194</v>
      </c>
      <c r="L632" s="16" t="s">
        <v>20</v>
      </c>
      <c r="M632" s="16" t="s">
        <v>893</v>
      </c>
      <c r="N632" s="16" t="s">
        <v>3461</v>
      </c>
    </row>
    <row r="633" spans="1:14" ht="20.100000000000001" customHeight="1" x14ac:dyDescent="0.25">
      <c r="A633" s="15" t="s">
        <v>5995</v>
      </c>
      <c r="B633" s="16" t="s">
        <v>57</v>
      </c>
      <c r="C633" s="15">
        <v>8400204</v>
      </c>
      <c r="D633" s="16" t="s">
        <v>178</v>
      </c>
      <c r="E633" s="15" t="s">
        <v>5996</v>
      </c>
      <c r="F633" s="21" t="str">
        <f>HYPERLINK("https://psearch.kitsapgov.com/webappa/index.html?parcelID=2595205&amp;Theme=Imagery","2595205")</f>
        <v>2595205</v>
      </c>
      <c r="G633" s="16" t="s">
        <v>4684</v>
      </c>
      <c r="H633" s="17">
        <v>43419</v>
      </c>
      <c r="I633" s="18">
        <v>600000</v>
      </c>
      <c r="J633" s="19">
        <v>0.92</v>
      </c>
      <c r="K633" s="16" t="s">
        <v>194</v>
      </c>
      <c r="L633" s="16" t="s">
        <v>20</v>
      </c>
      <c r="M633" s="16" t="s">
        <v>893</v>
      </c>
      <c r="N633" s="16" t="s">
        <v>3461</v>
      </c>
    </row>
    <row r="634" spans="1:14" ht="39.950000000000003" customHeight="1" x14ac:dyDescent="0.25">
      <c r="A634" s="15" t="s">
        <v>5997</v>
      </c>
      <c r="B634" s="16" t="s">
        <v>57</v>
      </c>
      <c r="C634" s="15">
        <v>7402407</v>
      </c>
      <c r="D634" s="16" t="s">
        <v>5603</v>
      </c>
      <c r="E634" s="15" t="s">
        <v>5998</v>
      </c>
      <c r="F634" s="21" t="str">
        <f>HYPERLINK("https://psearch.kitsapgov.com/webappa/index.html?parcelID=2059046&amp;Theme=Imagery","2059046")</f>
        <v>2059046</v>
      </c>
      <c r="G634" s="16" t="s">
        <v>107</v>
      </c>
      <c r="H634" s="17">
        <v>43420</v>
      </c>
      <c r="I634" s="18">
        <v>37050</v>
      </c>
      <c r="J634" s="19">
        <v>18.8</v>
      </c>
      <c r="K634" s="16" t="s">
        <v>235</v>
      </c>
      <c r="L634" s="16" t="s">
        <v>174</v>
      </c>
      <c r="M634" s="16" t="s">
        <v>5999</v>
      </c>
      <c r="N634" s="16" t="s">
        <v>6000</v>
      </c>
    </row>
    <row r="635" spans="1:14" ht="39.950000000000003" customHeight="1" x14ac:dyDescent="0.25">
      <c r="A635" s="15" t="s">
        <v>6001</v>
      </c>
      <c r="B635" s="16" t="s">
        <v>3696</v>
      </c>
      <c r="C635" s="15">
        <v>9100541</v>
      </c>
      <c r="D635" s="16" t="s">
        <v>215</v>
      </c>
      <c r="E635" s="15" t="s">
        <v>4934</v>
      </c>
      <c r="F635" s="21" t="str">
        <f>HYPERLINK("https://psearch.kitsapgov.com/webappa/index.html?parcelID=1452028&amp;Theme=Imagery","1452028")</f>
        <v>1452028</v>
      </c>
      <c r="G635" s="16" t="s">
        <v>4935</v>
      </c>
      <c r="H635" s="17">
        <v>43420</v>
      </c>
      <c r="I635" s="18">
        <v>600</v>
      </c>
      <c r="J635" s="19">
        <v>0.46</v>
      </c>
      <c r="K635" s="16" t="s">
        <v>28</v>
      </c>
      <c r="L635" s="16" t="s">
        <v>1169</v>
      </c>
      <c r="M635" s="16" t="s">
        <v>4937</v>
      </c>
      <c r="N635" s="16" t="s">
        <v>1716</v>
      </c>
    </row>
    <row r="636" spans="1:14" ht="20.100000000000001" customHeight="1" x14ac:dyDescent="0.25">
      <c r="A636" s="15" t="s">
        <v>6001</v>
      </c>
      <c r="B636" s="16" t="s">
        <v>393</v>
      </c>
      <c r="C636" s="15">
        <v>9100541</v>
      </c>
      <c r="D636" s="16" t="s">
        <v>215</v>
      </c>
      <c r="E636" s="15" t="s">
        <v>4938</v>
      </c>
      <c r="F636" s="21" t="str">
        <f>HYPERLINK("https://psearch.kitsapgov.com/webappa/index.html?parcelID=1452036&amp;Theme=Imagery","1452036")</f>
        <v>1452036</v>
      </c>
      <c r="G636" s="16" t="s">
        <v>4939</v>
      </c>
      <c r="H636" s="17">
        <v>43420</v>
      </c>
      <c r="I636" s="18">
        <v>600</v>
      </c>
      <c r="J636" s="19">
        <v>1.06</v>
      </c>
      <c r="K636" s="16" t="s">
        <v>28</v>
      </c>
      <c r="L636" s="16" t="s">
        <v>1169</v>
      </c>
      <c r="M636" s="16" t="s">
        <v>4937</v>
      </c>
      <c r="N636" s="16" t="s">
        <v>1716</v>
      </c>
    </row>
    <row r="637" spans="1:14" ht="39.950000000000003" customHeight="1" x14ac:dyDescent="0.25">
      <c r="A637" s="15" t="s">
        <v>6002</v>
      </c>
      <c r="B637" s="16" t="s">
        <v>57</v>
      </c>
      <c r="C637" s="15">
        <v>8100502</v>
      </c>
      <c r="D637" s="16" t="s">
        <v>67</v>
      </c>
      <c r="E637" s="15" t="s">
        <v>6003</v>
      </c>
      <c r="F637" s="21" t="str">
        <f>HYPERLINK("https://psearch.kitsapgov.com/webappa/index.html?parcelID=2274827&amp;Theme=Imagery","2274827")</f>
        <v>2274827</v>
      </c>
      <c r="G637" s="16" t="s">
        <v>6004</v>
      </c>
      <c r="H637" s="17">
        <v>43433</v>
      </c>
      <c r="I637" s="18">
        <v>371000</v>
      </c>
      <c r="J637" s="19">
        <v>0.95</v>
      </c>
      <c r="K637" s="16" t="s">
        <v>85</v>
      </c>
      <c r="L637" s="16" t="s">
        <v>4645</v>
      </c>
      <c r="M637" s="16" t="s">
        <v>763</v>
      </c>
      <c r="N637" s="16" t="s">
        <v>6005</v>
      </c>
    </row>
    <row r="638" spans="1:14" ht="20.100000000000001" customHeight="1" x14ac:dyDescent="0.25">
      <c r="A638" s="15" t="s">
        <v>6002</v>
      </c>
      <c r="B638" s="16" t="s">
        <v>143</v>
      </c>
      <c r="C638" s="15">
        <v>8100502</v>
      </c>
      <c r="D638" s="16" t="s">
        <v>67</v>
      </c>
      <c r="E638" s="15" t="s">
        <v>6006</v>
      </c>
      <c r="F638" s="21" t="str">
        <f>HYPERLINK("https://psearch.kitsapgov.com/webappa/index.html?parcelID=2274835&amp;Theme=Imagery","2274835")</f>
        <v>2274835</v>
      </c>
      <c r="G638" s="16" t="s">
        <v>6007</v>
      </c>
      <c r="H638" s="17">
        <v>43433</v>
      </c>
      <c r="I638" s="18">
        <v>371000</v>
      </c>
      <c r="J638" s="19">
        <v>1.94</v>
      </c>
      <c r="K638" s="16" t="s">
        <v>85</v>
      </c>
      <c r="L638" s="16" t="s">
        <v>4645</v>
      </c>
      <c r="M638" s="16" t="s">
        <v>763</v>
      </c>
      <c r="N638" s="16" t="s">
        <v>6005</v>
      </c>
    </row>
    <row r="639" spans="1:14" ht="20.100000000000001" customHeight="1" x14ac:dyDescent="0.25">
      <c r="A639" s="15" t="s">
        <v>6002</v>
      </c>
      <c r="B639" s="16" t="s">
        <v>57</v>
      </c>
      <c r="C639" s="15">
        <v>8100502</v>
      </c>
      <c r="D639" s="16" t="s">
        <v>67</v>
      </c>
      <c r="E639" s="15" t="s">
        <v>6008</v>
      </c>
      <c r="F639" s="21" t="str">
        <f>HYPERLINK("https://psearch.kitsapgov.com/webappa/index.html?parcelID=2274843&amp;Theme=Imagery","2274843")</f>
        <v>2274843</v>
      </c>
      <c r="G639" s="16" t="s">
        <v>6009</v>
      </c>
      <c r="H639" s="17">
        <v>43433</v>
      </c>
      <c r="I639" s="18">
        <v>371000</v>
      </c>
      <c r="J639" s="19">
        <v>1.41</v>
      </c>
      <c r="K639" s="16" t="s">
        <v>85</v>
      </c>
      <c r="L639" s="16" t="s">
        <v>4645</v>
      </c>
      <c r="M639" s="16" t="s">
        <v>763</v>
      </c>
      <c r="N639" s="16" t="s">
        <v>6005</v>
      </c>
    </row>
    <row r="640" spans="1:14" ht="39.950000000000003" customHeight="1" x14ac:dyDescent="0.25">
      <c r="A640" s="15" t="s">
        <v>6010</v>
      </c>
      <c r="B640" s="16" t="s">
        <v>330</v>
      </c>
      <c r="C640" s="15">
        <v>9100541</v>
      </c>
      <c r="D640" s="16" t="s">
        <v>215</v>
      </c>
      <c r="E640" s="15" t="s">
        <v>6011</v>
      </c>
      <c r="F640" s="21" t="str">
        <f>HYPERLINK("https://psearch.kitsapgov.com/webappa/index.html?parcelID=1468933&amp;Theme=Imagery","1468933")</f>
        <v>1468933</v>
      </c>
      <c r="G640" s="16" t="s">
        <v>6012</v>
      </c>
      <c r="H640" s="17">
        <v>43402</v>
      </c>
      <c r="I640" s="18">
        <v>2500</v>
      </c>
      <c r="J640" s="19">
        <v>0.35</v>
      </c>
      <c r="K640" s="16" t="s">
        <v>235</v>
      </c>
      <c r="L640" s="16" t="s">
        <v>246</v>
      </c>
      <c r="M640" s="16" t="s">
        <v>6013</v>
      </c>
      <c r="N640" s="16" t="s">
        <v>6014</v>
      </c>
    </row>
    <row r="641" spans="1:14" ht="20.100000000000001" customHeight="1" x14ac:dyDescent="0.25">
      <c r="A641" s="15" t="s">
        <v>6010</v>
      </c>
      <c r="B641" s="16" t="s">
        <v>89</v>
      </c>
      <c r="C641" s="15">
        <v>8100510</v>
      </c>
      <c r="D641" s="16" t="s">
        <v>401</v>
      </c>
      <c r="E641" s="15" t="s">
        <v>6015</v>
      </c>
      <c r="F641" s="21" t="str">
        <f>HYPERLINK("https://psearch.kitsapgov.com/webappa/index.html?parcelID=1468941&amp;Theme=Imagery","1468941")</f>
        <v>1468941</v>
      </c>
      <c r="G641" s="16" t="s">
        <v>6016</v>
      </c>
      <c r="H641" s="17">
        <v>43402</v>
      </c>
      <c r="I641" s="18">
        <v>2500</v>
      </c>
      <c r="J641" s="19">
        <v>0.35</v>
      </c>
      <c r="K641" s="16" t="s">
        <v>28</v>
      </c>
      <c r="L641" s="16" t="s">
        <v>246</v>
      </c>
      <c r="M641" s="16" t="s">
        <v>6013</v>
      </c>
      <c r="N641" s="16" t="s">
        <v>6014</v>
      </c>
    </row>
    <row r="642" spans="1:14" ht="39.950000000000003" customHeight="1" x14ac:dyDescent="0.25">
      <c r="A642" s="15" t="s">
        <v>6017</v>
      </c>
      <c r="B642" s="16" t="s">
        <v>3696</v>
      </c>
      <c r="C642" s="15">
        <v>8401101</v>
      </c>
      <c r="D642" s="16" t="s">
        <v>185</v>
      </c>
      <c r="E642" s="15" t="s">
        <v>6018</v>
      </c>
      <c r="F642" s="21" t="str">
        <f>HYPERLINK("https://psearch.kitsapgov.com/webappa/index.html?parcelID=1242577&amp;Theme=Imagery","1242577")</f>
        <v>1242577</v>
      </c>
      <c r="G642" s="16" t="s">
        <v>6019</v>
      </c>
      <c r="H642" s="17">
        <v>43444</v>
      </c>
      <c r="I642" s="18">
        <v>1325286</v>
      </c>
      <c r="J642" s="19">
        <v>1.1599999999999999</v>
      </c>
      <c r="K642" s="16" t="s">
        <v>188</v>
      </c>
      <c r="L642" s="16" t="s">
        <v>20</v>
      </c>
      <c r="M642" s="16" t="s">
        <v>6020</v>
      </c>
      <c r="N642" s="16" t="s">
        <v>3700</v>
      </c>
    </row>
    <row r="643" spans="1:14" ht="20.100000000000001" customHeight="1" x14ac:dyDescent="0.25">
      <c r="A643" s="15" t="s">
        <v>6017</v>
      </c>
      <c r="B643" s="16" t="s">
        <v>3696</v>
      </c>
      <c r="C643" s="15">
        <v>8401101</v>
      </c>
      <c r="D643" s="16" t="s">
        <v>185</v>
      </c>
      <c r="E643" s="15" t="s">
        <v>6021</v>
      </c>
      <c r="F643" s="21" t="str">
        <f>HYPERLINK("https://psearch.kitsapgov.com/webappa/index.html?parcelID=2452977&amp;Theme=Imagery","2452977")</f>
        <v>2452977</v>
      </c>
      <c r="G643" s="16" t="s">
        <v>6022</v>
      </c>
      <c r="H643" s="17">
        <v>43444</v>
      </c>
      <c r="I643" s="18">
        <v>1325286</v>
      </c>
      <c r="J643" s="19">
        <v>0</v>
      </c>
      <c r="L643" s="16" t="s">
        <v>20</v>
      </c>
      <c r="M643" s="16" t="s">
        <v>6020</v>
      </c>
      <c r="N643" s="16" t="s">
        <v>3700</v>
      </c>
    </row>
    <row r="644" spans="1:14" ht="39.950000000000003" customHeight="1" x14ac:dyDescent="0.25">
      <c r="A644" s="15" t="s">
        <v>6023</v>
      </c>
      <c r="B644" s="16" t="s">
        <v>330</v>
      </c>
      <c r="C644" s="15">
        <v>9100541</v>
      </c>
      <c r="D644" s="16" t="s">
        <v>215</v>
      </c>
      <c r="E644" s="15" t="s">
        <v>6011</v>
      </c>
      <c r="F644" s="21" t="str">
        <f>HYPERLINK("https://psearch.kitsapgov.com/webappa/index.html?parcelID=1468933&amp;Theme=Imagery","1468933")</f>
        <v>1468933</v>
      </c>
      <c r="G644" s="16" t="s">
        <v>6012</v>
      </c>
      <c r="H644" s="17">
        <v>43445</v>
      </c>
      <c r="I644" s="18">
        <v>625000</v>
      </c>
      <c r="J644" s="19">
        <v>0.35</v>
      </c>
      <c r="K644" s="16" t="s">
        <v>235</v>
      </c>
      <c r="L644" s="16" t="s">
        <v>4656</v>
      </c>
      <c r="M644" s="16" t="s">
        <v>6024</v>
      </c>
      <c r="N644" s="16" t="s">
        <v>6025</v>
      </c>
    </row>
    <row r="645" spans="1:14" ht="20.100000000000001" customHeight="1" x14ac:dyDescent="0.25">
      <c r="A645" s="15" t="s">
        <v>6023</v>
      </c>
      <c r="B645" s="16" t="s">
        <v>89</v>
      </c>
      <c r="C645" s="15">
        <v>8100510</v>
      </c>
      <c r="D645" s="16" t="s">
        <v>401</v>
      </c>
      <c r="E645" s="15" t="s">
        <v>6015</v>
      </c>
      <c r="F645" s="21" t="str">
        <f>HYPERLINK("https://psearch.kitsapgov.com/webappa/index.html?parcelID=1468941&amp;Theme=Imagery","1468941")</f>
        <v>1468941</v>
      </c>
      <c r="G645" s="16" t="s">
        <v>6016</v>
      </c>
      <c r="H645" s="17">
        <v>43445</v>
      </c>
      <c r="I645" s="18">
        <v>625000</v>
      </c>
      <c r="J645" s="19">
        <v>0.35</v>
      </c>
      <c r="K645" s="16" t="s">
        <v>28</v>
      </c>
      <c r="L645" s="16" t="s">
        <v>4656</v>
      </c>
      <c r="M645" s="16" t="s">
        <v>6024</v>
      </c>
      <c r="N645" s="16" t="s">
        <v>6025</v>
      </c>
    </row>
    <row r="646" spans="1:14" ht="39.950000000000003" customHeight="1" x14ac:dyDescent="0.25">
      <c r="A646" s="15" t="s">
        <v>6026</v>
      </c>
      <c r="B646" s="16" t="s">
        <v>368</v>
      </c>
      <c r="C646" s="15">
        <v>8100505</v>
      </c>
      <c r="D646" s="16" t="s">
        <v>17</v>
      </c>
      <c r="E646" s="15" t="s">
        <v>6027</v>
      </c>
      <c r="F646" s="21" t="str">
        <f>HYPERLINK("https://psearch.kitsapgov.com/webappa/index.html?parcelID=2110211&amp;Theme=Imagery","2110211")</f>
        <v>2110211</v>
      </c>
      <c r="G646" s="16" t="s">
        <v>6028</v>
      </c>
      <c r="H646" s="17">
        <v>43446</v>
      </c>
      <c r="I646" s="18">
        <v>890000</v>
      </c>
      <c r="J646" s="19">
        <v>0.21</v>
      </c>
      <c r="K646" s="16" t="s">
        <v>457</v>
      </c>
      <c r="L646" s="16" t="s">
        <v>856</v>
      </c>
      <c r="M646" s="16" t="s">
        <v>6029</v>
      </c>
      <c r="N646" s="16" t="s">
        <v>6030</v>
      </c>
    </row>
    <row r="647" spans="1:14" ht="20.100000000000001" customHeight="1" x14ac:dyDescent="0.25">
      <c r="A647" s="15" t="s">
        <v>6026</v>
      </c>
      <c r="B647" s="16" t="s">
        <v>368</v>
      </c>
      <c r="C647" s="15">
        <v>8100505</v>
      </c>
      <c r="D647" s="16" t="s">
        <v>17</v>
      </c>
      <c r="E647" s="15" t="s">
        <v>6031</v>
      </c>
      <c r="F647" s="21" t="str">
        <f>HYPERLINK("https://psearch.kitsapgov.com/webappa/index.html?parcelID=2563898&amp;Theme=Imagery","2563898")</f>
        <v>2563898</v>
      </c>
      <c r="G647" s="16" t="s">
        <v>6032</v>
      </c>
      <c r="H647" s="17">
        <v>43446</v>
      </c>
      <c r="I647" s="18">
        <v>890000</v>
      </c>
      <c r="J647" s="19">
        <v>0.67</v>
      </c>
      <c r="K647" s="16" t="s">
        <v>457</v>
      </c>
      <c r="L647" s="16" t="s">
        <v>856</v>
      </c>
      <c r="M647" s="16" t="s">
        <v>6029</v>
      </c>
      <c r="N647" s="16" t="s">
        <v>6030</v>
      </c>
    </row>
    <row r="648" spans="1:14" ht="39.950000000000003" customHeight="1" x14ac:dyDescent="0.25">
      <c r="A648" s="15" t="s">
        <v>6033</v>
      </c>
      <c r="B648" s="16" t="s">
        <v>57</v>
      </c>
      <c r="C648" s="15">
        <v>7400205</v>
      </c>
      <c r="D648" s="16" t="s">
        <v>6034</v>
      </c>
      <c r="E648" s="15" t="s">
        <v>6035</v>
      </c>
      <c r="F648" s="21" t="str">
        <f>HYPERLINK("https://psearch.kitsapgov.com/webappa/index.html?parcelID=1388693&amp;Theme=Imagery","1388693")</f>
        <v>1388693</v>
      </c>
      <c r="G648" s="16" t="s">
        <v>107</v>
      </c>
      <c r="H648" s="17">
        <v>43445</v>
      </c>
      <c r="I648" s="18">
        <v>350000</v>
      </c>
      <c r="J648" s="19">
        <v>1.76</v>
      </c>
      <c r="K648" s="16" t="s">
        <v>128</v>
      </c>
      <c r="L648" s="16" t="s">
        <v>4645</v>
      </c>
      <c r="M648" s="16" t="s">
        <v>6036</v>
      </c>
      <c r="N648" s="16" t="s">
        <v>6037</v>
      </c>
    </row>
    <row r="649" spans="1:14" ht="20.100000000000001" customHeight="1" x14ac:dyDescent="0.25">
      <c r="A649" s="15" t="s">
        <v>6033</v>
      </c>
      <c r="B649" s="16" t="s">
        <v>57</v>
      </c>
      <c r="C649" s="15">
        <v>8400204</v>
      </c>
      <c r="D649" s="16" t="s">
        <v>178</v>
      </c>
      <c r="E649" s="15" t="s">
        <v>6038</v>
      </c>
      <c r="F649" s="21" t="str">
        <f>HYPERLINK("https://psearch.kitsapgov.com/webappa/index.html?parcelID=1389402&amp;Theme=Imagery","1389402")</f>
        <v>1389402</v>
      </c>
      <c r="G649" s="16" t="s">
        <v>6039</v>
      </c>
      <c r="H649" s="17">
        <v>43445</v>
      </c>
      <c r="I649" s="18">
        <v>350000</v>
      </c>
      <c r="J649" s="19">
        <v>7.19</v>
      </c>
      <c r="K649" s="16" t="s">
        <v>181</v>
      </c>
      <c r="L649" s="16" t="s">
        <v>4645</v>
      </c>
      <c r="M649" s="16" t="s">
        <v>6036</v>
      </c>
      <c r="N649" s="16" t="s">
        <v>6037</v>
      </c>
    </row>
    <row r="650" spans="1:14" ht="39.950000000000003" customHeight="1" x14ac:dyDescent="0.25">
      <c r="A650" s="15" t="s">
        <v>6040</v>
      </c>
      <c r="B650" s="16" t="s">
        <v>1816</v>
      </c>
      <c r="C650" s="15">
        <v>8401102</v>
      </c>
      <c r="D650" s="16" t="s">
        <v>766</v>
      </c>
      <c r="E650" s="15" t="s">
        <v>6041</v>
      </c>
      <c r="F650" s="21" t="str">
        <f>HYPERLINK("https://psearch.kitsapgov.com/webappa/index.html?parcelID=1660018&amp;Theme=Imagery","1660018")</f>
        <v>1660018</v>
      </c>
      <c r="G650" s="16" t="s">
        <v>6042</v>
      </c>
      <c r="H650" s="17">
        <v>43439</v>
      </c>
      <c r="I650" s="18">
        <v>4000000</v>
      </c>
      <c r="J650" s="19">
        <v>1.04</v>
      </c>
      <c r="K650" s="16" t="s">
        <v>309</v>
      </c>
      <c r="L650" s="16" t="s">
        <v>4645</v>
      </c>
      <c r="M650" s="16" t="s">
        <v>6043</v>
      </c>
      <c r="N650" s="16" t="s">
        <v>6044</v>
      </c>
    </row>
    <row r="651" spans="1:14" ht="20.100000000000001" customHeight="1" x14ac:dyDescent="0.25">
      <c r="A651" s="15" t="s">
        <v>6040</v>
      </c>
      <c r="B651" s="16" t="s">
        <v>1816</v>
      </c>
      <c r="C651" s="15">
        <v>8401102</v>
      </c>
      <c r="D651" s="16" t="s">
        <v>766</v>
      </c>
      <c r="E651" s="15" t="s">
        <v>6045</v>
      </c>
      <c r="F651" s="21" t="str">
        <f>HYPERLINK("https://psearch.kitsapgov.com/webappa/index.html?parcelID=1660026&amp;Theme=Imagery","1660026")</f>
        <v>1660026</v>
      </c>
      <c r="G651" s="16" t="s">
        <v>6046</v>
      </c>
      <c r="H651" s="17">
        <v>43439</v>
      </c>
      <c r="I651" s="18">
        <v>4000000</v>
      </c>
      <c r="J651" s="19">
        <v>0.73</v>
      </c>
      <c r="K651" s="16" t="s">
        <v>309</v>
      </c>
      <c r="L651" s="16" t="s">
        <v>4645</v>
      </c>
      <c r="M651" s="16" t="s">
        <v>6043</v>
      </c>
      <c r="N651" s="16" t="s">
        <v>6044</v>
      </c>
    </row>
    <row r="652" spans="1:14" ht="20.100000000000001" customHeight="1" x14ac:dyDescent="0.25">
      <c r="A652" s="15" t="s">
        <v>6040</v>
      </c>
      <c r="B652" s="16" t="s">
        <v>214</v>
      </c>
      <c r="C652" s="15">
        <v>8401102</v>
      </c>
      <c r="D652" s="16" t="s">
        <v>766</v>
      </c>
      <c r="E652" s="15" t="s">
        <v>6047</v>
      </c>
      <c r="F652" s="21" t="str">
        <f>HYPERLINK("https://psearch.kitsapgov.com/webappa/index.html?parcelID=1660034&amp;Theme=Imagery","1660034")</f>
        <v>1660034</v>
      </c>
      <c r="G652" s="16" t="s">
        <v>6048</v>
      </c>
      <c r="H652" s="17">
        <v>43439</v>
      </c>
      <c r="I652" s="18">
        <v>4000000</v>
      </c>
      <c r="J652" s="19">
        <v>0.35</v>
      </c>
      <c r="K652" s="16" t="s">
        <v>309</v>
      </c>
      <c r="L652" s="16" t="s">
        <v>4645</v>
      </c>
      <c r="M652" s="16" t="s">
        <v>6043</v>
      </c>
      <c r="N652" s="16" t="s">
        <v>6044</v>
      </c>
    </row>
    <row r="653" spans="1:14" ht="39.950000000000003" customHeight="1" x14ac:dyDescent="0.25">
      <c r="A653" s="15" t="s">
        <v>6049</v>
      </c>
      <c r="B653" s="16" t="s">
        <v>368</v>
      </c>
      <c r="C653" s="15">
        <v>8402307</v>
      </c>
      <c r="D653" s="16" t="s">
        <v>151</v>
      </c>
      <c r="E653" s="15" t="s">
        <v>4653</v>
      </c>
      <c r="F653" s="21" t="str">
        <f>HYPERLINK("https://psearch.kitsapgov.com/webappa/index.html?parcelID=2434090&amp;Theme=Imagery","2434090")</f>
        <v>2434090</v>
      </c>
      <c r="G653" s="16" t="s">
        <v>4654</v>
      </c>
      <c r="H653" s="17">
        <v>43448</v>
      </c>
      <c r="I653" s="18">
        <v>24200000</v>
      </c>
      <c r="J653" s="19">
        <v>6</v>
      </c>
      <c r="K653" s="16" t="s">
        <v>4655</v>
      </c>
      <c r="L653" s="16" t="s">
        <v>856</v>
      </c>
      <c r="M653" s="16" t="s">
        <v>4658</v>
      </c>
      <c r="N653" s="16" t="s">
        <v>6050</v>
      </c>
    </row>
    <row r="654" spans="1:14" ht="20.100000000000001" customHeight="1" x14ac:dyDescent="0.25">
      <c r="A654" s="15" t="s">
        <v>6049</v>
      </c>
      <c r="B654" s="16" t="s">
        <v>368</v>
      </c>
      <c r="C654" s="15">
        <v>8402307</v>
      </c>
      <c r="D654" s="16" t="s">
        <v>151</v>
      </c>
      <c r="E654" s="15" t="s">
        <v>4659</v>
      </c>
      <c r="F654" s="21" t="str">
        <f>HYPERLINK("https://psearch.kitsapgov.com/webappa/index.html?parcelID=2575090&amp;Theme=Imagery","2575090")</f>
        <v>2575090</v>
      </c>
      <c r="G654" s="16" t="s">
        <v>4660</v>
      </c>
      <c r="H654" s="17">
        <v>43448</v>
      </c>
      <c r="I654" s="18">
        <v>24200000</v>
      </c>
      <c r="J654" s="19">
        <v>1.89</v>
      </c>
      <c r="K654" s="16" t="s">
        <v>4655</v>
      </c>
      <c r="L654" s="16" t="s">
        <v>856</v>
      </c>
      <c r="M654" s="16" t="s">
        <v>4658</v>
      </c>
      <c r="N654" s="16" t="s">
        <v>6050</v>
      </c>
    </row>
    <row r="655" spans="1:14" ht="39.950000000000003" customHeight="1" x14ac:dyDescent="0.25">
      <c r="A655" s="15" t="s">
        <v>6051</v>
      </c>
      <c r="B655" s="16" t="s">
        <v>1893</v>
      </c>
      <c r="C655" s="15">
        <v>8100502</v>
      </c>
      <c r="D655" s="16" t="s">
        <v>67</v>
      </c>
      <c r="E655" s="15" t="s">
        <v>6052</v>
      </c>
      <c r="F655" s="21" t="str">
        <f>HYPERLINK("https://psearch.kitsapgov.com/webappa/index.html?parcelID=1156447&amp;Theme=Imagery","1156447")</f>
        <v>1156447</v>
      </c>
      <c r="G655" s="16" t="s">
        <v>6053</v>
      </c>
      <c r="H655" s="17">
        <v>43446</v>
      </c>
      <c r="I655" s="18">
        <v>1250000</v>
      </c>
      <c r="J655" s="19">
        <v>19.920000000000002</v>
      </c>
      <c r="K655" s="16" t="s">
        <v>70</v>
      </c>
      <c r="L655" s="16" t="s">
        <v>4645</v>
      </c>
      <c r="M655" s="16" t="s">
        <v>6054</v>
      </c>
      <c r="N655" s="16" t="s">
        <v>6055</v>
      </c>
    </row>
    <row r="656" spans="1:14" ht="20.100000000000001" customHeight="1" x14ac:dyDescent="0.25">
      <c r="A656" s="15" t="s">
        <v>6051</v>
      </c>
      <c r="B656" s="16" t="s">
        <v>1893</v>
      </c>
      <c r="C656" s="15">
        <v>8100502</v>
      </c>
      <c r="D656" s="16" t="s">
        <v>67</v>
      </c>
      <c r="E656" s="15" t="s">
        <v>6056</v>
      </c>
      <c r="F656" s="21" t="str">
        <f>HYPERLINK("https://psearch.kitsapgov.com/webappa/index.html?parcelID=1156454&amp;Theme=Imagery","1156454")</f>
        <v>1156454</v>
      </c>
      <c r="G656" s="16" t="s">
        <v>6053</v>
      </c>
      <c r="H656" s="17">
        <v>43446</v>
      </c>
      <c r="I656" s="18">
        <v>1250000</v>
      </c>
      <c r="J656" s="19">
        <v>19.940000000000001</v>
      </c>
      <c r="K656" s="16" t="s">
        <v>70</v>
      </c>
      <c r="L656" s="16" t="s">
        <v>4645</v>
      </c>
      <c r="M656" s="16" t="s">
        <v>6054</v>
      </c>
      <c r="N656" s="16" t="s">
        <v>6055</v>
      </c>
    </row>
    <row r="657" spans="1:14" ht="20.100000000000001" customHeight="1" x14ac:dyDescent="0.25">
      <c r="A657" s="15" t="s">
        <v>6051</v>
      </c>
      <c r="B657" s="16" t="s">
        <v>57</v>
      </c>
      <c r="C657" s="15">
        <v>8100502</v>
      </c>
      <c r="D657" s="16" t="s">
        <v>67</v>
      </c>
      <c r="E657" s="15" t="s">
        <v>5669</v>
      </c>
      <c r="F657" s="21" t="str">
        <f>HYPERLINK("https://psearch.kitsapgov.com/webappa/index.html?parcelID=1713981&amp;Theme=Imagery","1713981")</f>
        <v>1713981</v>
      </c>
      <c r="G657" s="16" t="s">
        <v>5670</v>
      </c>
      <c r="H657" s="17">
        <v>43446</v>
      </c>
      <c r="I657" s="18">
        <v>1250000</v>
      </c>
      <c r="J657" s="19">
        <v>6.67</v>
      </c>
      <c r="K657" s="16" t="s">
        <v>70</v>
      </c>
      <c r="L657" s="16" t="s">
        <v>4645</v>
      </c>
      <c r="M657" s="16" t="s">
        <v>6054</v>
      </c>
      <c r="N657" s="16" t="s">
        <v>6055</v>
      </c>
    </row>
    <row r="658" spans="1:14" ht="20.100000000000001" customHeight="1" x14ac:dyDescent="0.25">
      <c r="A658" s="15" t="s">
        <v>6051</v>
      </c>
      <c r="B658" s="16" t="s">
        <v>57</v>
      </c>
      <c r="C658" s="15">
        <v>8100502</v>
      </c>
      <c r="D658" s="16" t="s">
        <v>67</v>
      </c>
      <c r="E658" s="15" t="s">
        <v>5673</v>
      </c>
      <c r="F658" s="21" t="str">
        <f>HYPERLINK("https://psearch.kitsapgov.com/webappa/index.html?parcelID=1713999&amp;Theme=Imagery","1713999")</f>
        <v>1713999</v>
      </c>
      <c r="G658" s="16" t="s">
        <v>5670</v>
      </c>
      <c r="H658" s="17">
        <v>43446</v>
      </c>
      <c r="I658" s="18">
        <v>1250000</v>
      </c>
      <c r="J658" s="19">
        <v>0.45</v>
      </c>
      <c r="K658" s="16" t="s">
        <v>70</v>
      </c>
      <c r="L658" s="16" t="s">
        <v>4645</v>
      </c>
      <c r="M658" s="16" t="s">
        <v>6054</v>
      </c>
      <c r="N658" s="16" t="s">
        <v>6055</v>
      </c>
    </row>
    <row r="659" spans="1:14" ht="20.100000000000001" customHeight="1" x14ac:dyDescent="0.25">
      <c r="A659" s="15" t="s">
        <v>6051</v>
      </c>
      <c r="B659" s="16" t="s">
        <v>57</v>
      </c>
      <c r="C659" s="15">
        <v>8100502</v>
      </c>
      <c r="D659" s="16" t="s">
        <v>67</v>
      </c>
      <c r="E659" s="15" t="s">
        <v>5674</v>
      </c>
      <c r="F659" s="21" t="str">
        <f>HYPERLINK("https://psearch.kitsapgov.com/webappa/index.html?parcelID=1714005&amp;Theme=Imagery","1714005")</f>
        <v>1714005</v>
      </c>
      <c r="G659" s="16" t="s">
        <v>5670</v>
      </c>
      <c r="H659" s="17">
        <v>43446</v>
      </c>
      <c r="I659" s="18">
        <v>1250000</v>
      </c>
      <c r="J659" s="19">
        <v>0.08</v>
      </c>
      <c r="K659" s="16" t="s">
        <v>70</v>
      </c>
      <c r="L659" s="16" t="s">
        <v>4645</v>
      </c>
      <c r="M659" s="16" t="s">
        <v>6054</v>
      </c>
      <c r="N659" s="16" t="s">
        <v>6055</v>
      </c>
    </row>
    <row r="660" spans="1:14" ht="20.100000000000001" customHeight="1" x14ac:dyDescent="0.25">
      <c r="A660" s="15" t="s">
        <v>6051</v>
      </c>
      <c r="B660" s="16" t="s">
        <v>57</v>
      </c>
      <c r="C660" s="15">
        <v>8100502</v>
      </c>
      <c r="D660" s="16" t="s">
        <v>67</v>
      </c>
      <c r="E660" s="15" t="s">
        <v>5675</v>
      </c>
      <c r="F660" s="21" t="str">
        <f>HYPERLINK("https://psearch.kitsapgov.com/webappa/index.html?parcelID=1714013&amp;Theme=Imagery","1714013")</f>
        <v>1714013</v>
      </c>
      <c r="G660" s="16" t="s">
        <v>5670</v>
      </c>
      <c r="H660" s="17">
        <v>43446</v>
      </c>
      <c r="I660" s="18">
        <v>1250000</v>
      </c>
      <c r="J660" s="19">
        <v>0.75</v>
      </c>
      <c r="K660" s="16" t="s">
        <v>70</v>
      </c>
      <c r="L660" s="16" t="s">
        <v>4645</v>
      </c>
      <c r="M660" s="16" t="s">
        <v>6054</v>
      </c>
      <c r="N660" s="16" t="s">
        <v>6055</v>
      </c>
    </row>
    <row r="661" spans="1:14" ht="20.100000000000001" customHeight="1" x14ac:dyDescent="0.25">
      <c r="A661" s="15" t="s">
        <v>6051</v>
      </c>
      <c r="B661" s="16" t="s">
        <v>57</v>
      </c>
      <c r="C661" s="15">
        <v>8100502</v>
      </c>
      <c r="D661" s="16" t="s">
        <v>67</v>
      </c>
      <c r="E661" s="15" t="s">
        <v>5676</v>
      </c>
      <c r="F661" s="21" t="str">
        <f>HYPERLINK("https://psearch.kitsapgov.com/webappa/index.html?parcelID=1714021&amp;Theme=Imagery","1714021")</f>
        <v>1714021</v>
      </c>
      <c r="G661" s="16" t="s">
        <v>5677</v>
      </c>
      <c r="H661" s="17">
        <v>43446</v>
      </c>
      <c r="I661" s="18">
        <v>1250000</v>
      </c>
      <c r="J661" s="19">
        <v>0.15</v>
      </c>
      <c r="K661" s="16" t="s">
        <v>70</v>
      </c>
      <c r="L661" s="16" t="s">
        <v>4645</v>
      </c>
      <c r="M661" s="16" t="s">
        <v>6054</v>
      </c>
      <c r="N661" s="16" t="s">
        <v>6055</v>
      </c>
    </row>
    <row r="662" spans="1:14" ht="20.100000000000001" customHeight="1" x14ac:dyDescent="0.25">
      <c r="A662" s="15" t="s">
        <v>6051</v>
      </c>
      <c r="B662" s="16" t="s">
        <v>57</v>
      </c>
      <c r="C662" s="15">
        <v>8100502</v>
      </c>
      <c r="D662" s="16" t="s">
        <v>67</v>
      </c>
      <c r="E662" s="15" t="s">
        <v>5678</v>
      </c>
      <c r="F662" s="21" t="str">
        <f>HYPERLINK("https://psearch.kitsapgov.com/webappa/index.html?parcelID=1714039&amp;Theme=Imagery","1714039")</f>
        <v>1714039</v>
      </c>
      <c r="G662" s="16" t="s">
        <v>5679</v>
      </c>
      <c r="H662" s="17">
        <v>43446</v>
      </c>
      <c r="I662" s="18">
        <v>1250000</v>
      </c>
      <c r="J662" s="19">
        <v>0.08</v>
      </c>
      <c r="K662" s="16" t="s">
        <v>70</v>
      </c>
      <c r="L662" s="16" t="s">
        <v>4645</v>
      </c>
      <c r="M662" s="16" t="s">
        <v>6054</v>
      </c>
      <c r="N662" s="16" t="s">
        <v>6055</v>
      </c>
    </row>
    <row r="663" spans="1:14" ht="20.100000000000001" customHeight="1" x14ac:dyDescent="0.25">
      <c r="A663" s="15" t="s">
        <v>6051</v>
      </c>
      <c r="B663" s="16" t="s">
        <v>57</v>
      </c>
      <c r="C663" s="15">
        <v>8100502</v>
      </c>
      <c r="D663" s="16" t="s">
        <v>67</v>
      </c>
      <c r="E663" s="15" t="s">
        <v>5680</v>
      </c>
      <c r="F663" s="21" t="str">
        <f>HYPERLINK("https://psearch.kitsapgov.com/webappa/index.html?parcelID=1714047&amp;Theme=Imagery","1714047")</f>
        <v>1714047</v>
      </c>
      <c r="G663" s="16" t="s">
        <v>5670</v>
      </c>
      <c r="H663" s="17">
        <v>43446</v>
      </c>
      <c r="I663" s="18">
        <v>1250000</v>
      </c>
      <c r="J663" s="19">
        <v>0.15</v>
      </c>
      <c r="K663" s="16" t="s">
        <v>70</v>
      </c>
      <c r="L663" s="16" t="s">
        <v>4645</v>
      </c>
      <c r="M663" s="16" t="s">
        <v>6054</v>
      </c>
      <c r="N663" s="16" t="s">
        <v>6055</v>
      </c>
    </row>
    <row r="664" spans="1:14" ht="20.100000000000001" customHeight="1" x14ac:dyDescent="0.25">
      <c r="A664" s="15" t="s">
        <v>6051</v>
      </c>
      <c r="B664" s="16" t="s">
        <v>57</v>
      </c>
      <c r="C664" s="15">
        <v>8100502</v>
      </c>
      <c r="D664" s="16" t="s">
        <v>67</v>
      </c>
      <c r="E664" s="15" t="s">
        <v>5681</v>
      </c>
      <c r="F664" s="21" t="str">
        <f>HYPERLINK("https://psearch.kitsapgov.com/webappa/index.html?parcelID=1714054&amp;Theme=Imagery","1714054")</f>
        <v>1714054</v>
      </c>
      <c r="G664" s="16" t="s">
        <v>5670</v>
      </c>
      <c r="H664" s="17">
        <v>43446</v>
      </c>
      <c r="I664" s="18">
        <v>1250000</v>
      </c>
      <c r="J664" s="19">
        <v>0.17</v>
      </c>
      <c r="K664" s="16" t="s">
        <v>70</v>
      </c>
      <c r="L664" s="16" t="s">
        <v>4645</v>
      </c>
      <c r="M664" s="16" t="s">
        <v>6054</v>
      </c>
      <c r="N664" s="16" t="s">
        <v>6055</v>
      </c>
    </row>
    <row r="665" spans="1:14" ht="20.100000000000001" customHeight="1" x14ac:dyDescent="0.25">
      <c r="A665" s="15" t="s">
        <v>6051</v>
      </c>
      <c r="B665" s="16" t="s">
        <v>57</v>
      </c>
      <c r="C665" s="15">
        <v>8100502</v>
      </c>
      <c r="D665" s="16" t="s">
        <v>67</v>
      </c>
      <c r="E665" s="15" t="s">
        <v>5682</v>
      </c>
      <c r="F665" s="21" t="str">
        <f>HYPERLINK("https://psearch.kitsapgov.com/webappa/index.html?parcelID=1714062&amp;Theme=Imagery","1714062")</f>
        <v>1714062</v>
      </c>
      <c r="G665" s="16" t="s">
        <v>5670</v>
      </c>
      <c r="H665" s="17">
        <v>43446</v>
      </c>
      <c r="I665" s="18">
        <v>1250000</v>
      </c>
      <c r="J665" s="19">
        <v>0.08</v>
      </c>
      <c r="K665" s="16" t="s">
        <v>70</v>
      </c>
      <c r="L665" s="16" t="s">
        <v>4645</v>
      </c>
      <c r="M665" s="16" t="s">
        <v>6054</v>
      </c>
      <c r="N665" s="16" t="s">
        <v>6055</v>
      </c>
    </row>
    <row r="666" spans="1:14" ht="20.100000000000001" customHeight="1" x14ac:dyDescent="0.25">
      <c r="A666" s="15" t="s">
        <v>6051</v>
      </c>
      <c r="B666" s="16" t="s">
        <v>57</v>
      </c>
      <c r="C666" s="15">
        <v>8100502</v>
      </c>
      <c r="D666" s="16" t="s">
        <v>67</v>
      </c>
      <c r="E666" s="15" t="s">
        <v>5683</v>
      </c>
      <c r="F666" s="21" t="str">
        <f>HYPERLINK("https://psearch.kitsapgov.com/webappa/index.html?parcelID=1714070&amp;Theme=Imagery","1714070")</f>
        <v>1714070</v>
      </c>
      <c r="G666" s="16" t="s">
        <v>5670</v>
      </c>
      <c r="H666" s="17">
        <v>43446</v>
      </c>
      <c r="I666" s="18">
        <v>1250000</v>
      </c>
      <c r="J666" s="19">
        <v>0.38</v>
      </c>
      <c r="K666" s="16" t="s">
        <v>70</v>
      </c>
      <c r="L666" s="16" t="s">
        <v>4645</v>
      </c>
      <c r="M666" s="16" t="s">
        <v>6054</v>
      </c>
      <c r="N666" s="16" t="s">
        <v>6055</v>
      </c>
    </row>
    <row r="667" spans="1:14" ht="20.100000000000001" customHeight="1" x14ac:dyDescent="0.25">
      <c r="A667" s="15" t="s">
        <v>6051</v>
      </c>
      <c r="B667" s="16" t="s">
        <v>57</v>
      </c>
      <c r="C667" s="15">
        <v>8100502</v>
      </c>
      <c r="D667" s="16" t="s">
        <v>67</v>
      </c>
      <c r="E667" s="15" t="s">
        <v>5684</v>
      </c>
      <c r="F667" s="21" t="str">
        <f>HYPERLINK("https://psearch.kitsapgov.com/webappa/index.html?parcelID=1714088&amp;Theme=Imagery","1714088")</f>
        <v>1714088</v>
      </c>
      <c r="G667" s="16" t="s">
        <v>5670</v>
      </c>
      <c r="H667" s="17">
        <v>43446</v>
      </c>
      <c r="I667" s="18">
        <v>1250000</v>
      </c>
      <c r="J667" s="19">
        <v>0.08</v>
      </c>
      <c r="K667" s="16" t="s">
        <v>70</v>
      </c>
      <c r="L667" s="16" t="s">
        <v>4645</v>
      </c>
      <c r="M667" s="16" t="s">
        <v>6054</v>
      </c>
      <c r="N667" s="16" t="s">
        <v>6055</v>
      </c>
    </row>
    <row r="668" spans="1:14" ht="20.100000000000001" customHeight="1" x14ac:dyDescent="0.25">
      <c r="A668" s="15" t="s">
        <v>6051</v>
      </c>
      <c r="B668" s="16" t="s">
        <v>57</v>
      </c>
      <c r="C668" s="15">
        <v>8100502</v>
      </c>
      <c r="D668" s="16" t="s">
        <v>67</v>
      </c>
      <c r="E668" s="15" t="s">
        <v>5685</v>
      </c>
      <c r="F668" s="21" t="str">
        <f>HYPERLINK("https://psearch.kitsapgov.com/webappa/index.html?parcelID=1714096&amp;Theme=Imagery","1714096")</f>
        <v>1714096</v>
      </c>
      <c r="G668" s="16" t="s">
        <v>5670</v>
      </c>
      <c r="H668" s="17">
        <v>43446</v>
      </c>
      <c r="I668" s="18">
        <v>1250000</v>
      </c>
      <c r="J668" s="19">
        <v>0.3</v>
      </c>
      <c r="K668" s="16" t="s">
        <v>70</v>
      </c>
      <c r="L668" s="16" t="s">
        <v>4645</v>
      </c>
      <c r="M668" s="16" t="s">
        <v>6054</v>
      </c>
      <c r="N668" s="16" t="s">
        <v>6055</v>
      </c>
    </row>
    <row r="669" spans="1:14" ht="20.100000000000001" customHeight="1" x14ac:dyDescent="0.25">
      <c r="A669" s="15" t="s">
        <v>6051</v>
      </c>
      <c r="B669" s="16" t="s">
        <v>57</v>
      </c>
      <c r="C669" s="15">
        <v>8100502</v>
      </c>
      <c r="D669" s="16" t="s">
        <v>67</v>
      </c>
      <c r="E669" s="15" t="s">
        <v>6057</v>
      </c>
      <c r="F669" s="21" t="str">
        <f>HYPERLINK("https://psearch.kitsapgov.com/webappa/index.html?parcelID=2635456&amp;Theme=Imagery","2635456")</f>
        <v>2635456</v>
      </c>
      <c r="G669" s="16" t="s">
        <v>6058</v>
      </c>
      <c r="H669" s="17">
        <v>43446</v>
      </c>
      <c r="I669" s="18">
        <v>1250000</v>
      </c>
      <c r="J669" s="19">
        <v>7.19</v>
      </c>
      <c r="K669" s="16" t="s">
        <v>70</v>
      </c>
      <c r="L669" s="16" t="s">
        <v>4645</v>
      </c>
      <c r="M669" s="16" t="s">
        <v>6054</v>
      </c>
      <c r="N669" s="16" t="s">
        <v>6055</v>
      </c>
    </row>
    <row r="670" spans="1:14" ht="20.100000000000001" customHeight="1" x14ac:dyDescent="0.25">
      <c r="A670" s="15" t="s">
        <v>6051</v>
      </c>
      <c r="B670" s="16" t="s">
        <v>57</v>
      </c>
      <c r="C670" s="15">
        <v>8100502</v>
      </c>
      <c r="D670" s="16" t="s">
        <v>67</v>
      </c>
      <c r="E670" s="15" t="s">
        <v>5686</v>
      </c>
      <c r="F670" s="21" t="str">
        <f>HYPERLINK("https://psearch.kitsapgov.com/webappa/index.html?parcelID=1714112&amp;Theme=Imagery","1714112")</f>
        <v>1714112</v>
      </c>
      <c r="G670" s="16" t="s">
        <v>5670</v>
      </c>
      <c r="H670" s="17">
        <v>43446</v>
      </c>
      <c r="I670" s="18">
        <v>1250000</v>
      </c>
      <c r="J670" s="19">
        <v>0.38</v>
      </c>
      <c r="K670" s="16" t="s">
        <v>70</v>
      </c>
      <c r="L670" s="16" t="s">
        <v>4645</v>
      </c>
      <c r="M670" s="16" t="s">
        <v>6054</v>
      </c>
      <c r="N670" s="16" t="s">
        <v>6055</v>
      </c>
    </row>
    <row r="671" spans="1:14" ht="20.100000000000001" customHeight="1" x14ac:dyDescent="0.25">
      <c r="A671" s="15" t="s">
        <v>6051</v>
      </c>
      <c r="B671" s="16" t="s">
        <v>57</v>
      </c>
      <c r="C671" s="15">
        <v>8100502</v>
      </c>
      <c r="D671" s="16" t="s">
        <v>67</v>
      </c>
      <c r="E671" s="15" t="s">
        <v>5687</v>
      </c>
      <c r="F671" s="21" t="str">
        <f>HYPERLINK("https://psearch.kitsapgov.com/webappa/index.html?parcelID=1714120&amp;Theme=Imagery","1714120")</f>
        <v>1714120</v>
      </c>
      <c r="G671" s="16" t="s">
        <v>5688</v>
      </c>
      <c r="H671" s="17">
        <v>43446</v>
      </c>
      <c r="I671" s="18">
        <v>1250000</v>
      </c>
      <c r="J671" s="19">
        <v>0.48</v>
      </c>
      <c r="K671" s="16" t="s">
        <v>70</v>
      </c>
      <c r="L671" s="16" t="s">
        <v>4645</v>
      </c>
      <c r="M671" s="16" t="s">
        <v>6054</v>
      </c>
      <c r="N671" s="16" t="s">
        <v>6055</v>
      </c>
    </row>
    <row r="672" spans="1:14" ht="20.100000000000001" customHeight="1" x14ac:dyDescent="0.25">
      <c r="A672" s="15" t="s">
        <v>6051</v>
      </c>
      <c r="B672" s="16" t="s">
        <v>57</v>
      </c>
      <c r="C672" s="15">
        <v>8100502</v>
      </c>
      <c r="D672" s="16" t="s">
        <v>67</v>
      </c>
      <c r="E672" s="15" t="s">
        <v>5689</v>
      </c>
      <c r="F672" s="21" t="str">
        <f>HYPERLINK("https://psearch.kitsapgov.com/webappa/index.html?parcelID=2466076&amp;Theme=Imagery","2466076")</f>
        <v>2466076</v>
      </c>
      <c r="G672" s="16" t="s">
        <v>5670</v>
      </c>
      <c r="H672" s="17">
        <v>43446</v>
      </c>
      <c r="I672" s="18">
        <v>1250000</v>
      </c>
      <c r="J672" s="19">
        <v>0.08</v>
      </c>
      <c r="K672" s="16" t="s">
        <v>70</v>
      </c>
      <c r="L672" s="16" t="s">
        <v>4645</v>
      </c>
      <c r="M672" s="16" t="s">
        <v>6054</v>
      </c>
      <c r="N672" s="16" t="s">
        <v>6055</v>
      </c>
    </row>
    <row r="673" spans="1:14" ht="20.100000000000001" customHeight="1" x14ac:dyDescent="0.25">
      <c r="A673" s="15" t="s">
        <v>6051</v>
      </c>
      <c r="B673" s="16" t="s">
        <v>57</v>
      </c>
      <c r="C673" s="15">
        <v>8100502</v>
      </c>
      <c r="D673" s="16" t="s">
        <v>67</v>
      </c>
      <c r="E673" s="15" t="s">
        <v>5690</v>
      </c>
      <c r="F673" s="21" t="str">
        <f>HYPERLINK("https://psearch.kitsapgov.com/webappa/index.html?parcelID=1714138&amp;Theme=Imagery","1714138")</f>
        <v>1714138</v>
      </c>
      <c r="G673" s="16" t="s">
        <v>5670</v>
      </c>
      <c r="H673" s="17">
        <v>43446</v>
      </c>
      <c r="I673" s="18">
        <v>1250000</v>
      </c>
      <c r="J673" s="19">
        <v>0.23</v>
      </c>
      <c r="K673" s="16" t="s">
        <v>70</v>
      </c>
      <c r="L673" s="16" t="s">
        <v>4645</v>
      </c>
      <c r="M673" s="16" t="s">
        <v>6054</v>
      </c>
      <c r="N673" s="16" t="s">
        <v>6055</v>
      </c>
    </row>
    <row r="674" spans="1:14" ht="20.100000000000001" customHeight="1" x14ac:dyDescent="0.25">
      <c r="A674" s="15" t="s">
        <v>6051</v>
      </c>
      <c r="B674" s="16" t="s">
        <v>57</v>
      </c>
      <c r="C674" s="15">
        <v>8100502</v>
      </c>
      <c r="D674" s="16" t="s">
        <v>67</v>
      </c>
      <c r="E674" s="15" t="s">
        <v>6059</v>
      </c>
      <c r="F674" s="21" t="str">
        <f>HYPERLINK("https://psearch.kitsapgov.com/webappa/index.html?parcelID=2635464&amp;Theme=Imagery","2635464")</f>
        <v>2635464</v>
      </c>
      <c r="G674" s="16" t="s">
        <v>6058</v>
      </c>
      <c r="H674" s="17">
        <v>43446</v>
      </c>
      <c r="I674" s="18">
        <v>1250000</v>
      </c>
      <c r="J674" s="19">
        <v>20.97</v>
      </c>
      <c r="K674" s="16" t="s">
        <v>70</v>
      </c>
      <c r="L674" s="16" t="s">
        <v>4645</v>
      </c>
      <c r="M674" s="16" t="s">
        <v>6054</v>
      </c>
      <c r="N674" s="16" t="s">
        <v>6055</v>
      </c>
    </row>
    <row r="675" spans="1:14" ht="20.100000000000001" customHeight="1" x14ac:dyDescent="0.25">
      <c r="A675" s="15" t="s">
        <v>6051</v>
      </c>
      <c r="B675" s="16" t="s">
        <v>57</v>
      </c>
      <c r="C675" s="15">
        <v>8100502</v>
      </c>
      <c r="D675" s="16" t="s">
        <v>67</v>
      </c>
      <c r="E675" s="15" t="s">
        <v>5691</v>
      </c>
      <c r="F675" s="21" t="str">
        <f>HYPERLINK("https://psearch.kitsapgov.com/webappa/index.html?parcelID=1714146&amp;Theme=Imagery","1714146")</f>
        <v>1714146</v>
      </c>
      <c r="G675" s="16" t="s">
        <v>5670</v>
      </c>
      <c r="H675" s="17">
        <v>43446</v>
      </c>
      <c r="I675" s="18">
        <v>1250000</v>
      </c>
      <c r="J675" s="19">
        <v>0.84</v>
      </c>
      <c r="K675" s="16" t="s">
        <v>70</v>
      </c>
      <c r="L675" s="16" t="s">
        <v>4645</v>
      </c>
      <c r="M675" s="16" t="s">
        <v>6054</v>
      </c>
      <c r="N675" s="16" t="s">
        <v>6055</v>
      </c>
    </row>
    <row r="676" spans="1:14" ht="20.100000000000001" customHeight="1" x14ac:dyDescent="0.25">
      <c r="A676" s="15" t="s">
        <v>6051</v>
      </c>
      <c r="B676" s="16" t="s">
        <v>57</v>
      </c>
      <c r="C676" s="15">
        <v>8100502</v>
      </c>
      <c r="D676" s="16" t="s">
        <v>67</v>
      </c>
      <c r="E676" s="15" t="s">
        <v>5692</v>
      </c>
      <c r="F676" s="21" t="str">
        <f>HYPERLINK("https://psearch.kitsapgov.com/webappa/index.html?parcelID=1714153&amp;Theme=Imagery","1714153")</f>
        <v>1714153</v>
      </c>
      <c r="G676" s="16" t="s">
        <v>5670</v>
      </c>
      <c r="H676" s="17">
        <v>43446</v>
      </c>
      <c r="I676" s="18">
        <v>1250000</v>
      </c>
      <c r="J676" s="19">
        <v>0.3</v>
      </c>
      <c r="K676" s="16" t="s">
        <v>70</v>
      </c>
      <c r="L676" s="16" t="s">
        <v>4645</v>
      </c>
      <c r="M676" s="16" t="s">
        <v>6054</v>
      </c>
      <c r="N676" s="16" t="s">
        <v>6055</v>
      </c>
    </row>
    <row r="677" spans="1:14" ht="39.950000000000003" customHeight="1" x14ac:dyDescent="0.25">
      <c r="A677" s="15" t="s">
        <v>6060</v>
      </c>
      <c r="B677" s="16" t="s">
        <v>330</v>
      </c>
      <c r="C677" s="15">
        <v>8400202</v>
      </c>
      <c r="D677" s="16" t="s">
        <v>158</v>
      </c>
      <c r="E677" s="15" t="s">
        <v>6061</v>
      </c>
      <c r="F677" s="21" t="str">
        <f>HYPERLINK("https://psearch.kitsapgov.com/webappa/index.html?parcelID=1340959&amp;Theme=Imagery","1340959")</f>
        <v>1340959</v>
      </c>
      <c r="G677" s="16" t="s">
        <v>6062</v>
      </c>
      <c r="H677" s="17">
        <v>43451</v>
      </c>
      <c r="I677" s="18">
        <v>350000</v>
      </c>
      <c r="J677" s="19">
        <v>0.14000000000000001</v>
      </c>
      <c r="K677" s="16" t="s">
        <v>100</v>
      </c>
      <c r="L677" s="16" t="s">
        <v>4645</v>
      </c>
      <c r="M677" s="16" t="s">
        <v>4021</v>
      </c>
      <c r="N677" s="16" t="s">
        <v>1928</v>
      </c>
    </row>
    <row r="678" spans="1:14" ht="20.100000000000001" customHeight="1" x14ac:dyDescent="0.25">
      <c r="A678" s="15" t="s">
        <v>6060</v>
      </c>
      <c r="B678" s="16" t="s">
        <v>330</v>
      </c>
      <c r="C678" s="15">
        <v>8400202</v>
      </c>
      <c r="D678" s="16" t="s">
        <v>158</v>
      </c>
      <c r="E678" s="15" t="s">
        <v>6063</v>
      </c>
      <c r="F678" s="21" t="str">
        <f>HYPERLINK("https://psearch.kitsapgov.com/webappa/index.html?parcelID=1340967&amp;Theme=Imagery","1340967")</f>
        <v>1340967</v>
      </c>
      <c r="G678" s="16" t="s">
        <v>6064</v>
      </c>
      <c r="H678" s="17">
        <v>43451</v>
      </c>
      <c r="I678" s="18">
        <v>350000</v>
      </c>
      <c r="J678" s="19">
        <v>0.51</v>
      </c>
      <c r="K678" s="16" t="s">
        <v>100</v>
      </c>
      <c r="L678" s="16" t="s">
        <v>4645</v>
      </c>
      <c r="M678" s="16" t="s">
        <v>4021</v>
      </c>
      <c r="N678" s="16" t="s">
        <v>1928</v>
      </c>
    </row>
    <row r="679" spans="1:14" ht="39.950000000000003" customHeight="1" x14ac:dyDescent="0.25">
      <c r="A679" s="15" t="s">
        <v>6065</v>
      </c>
      <c r="B679" s="16" t="s">
        <v>57</v>
      </c>
      <c r="C679" s="15">
        <v>8401104</v>
      </c>
      <c r="D679" s="16" t="s">
        <v>144</v>
      </c>
      <c r="E679" s="15" t="s">
        <v>6066</v>
      </c>
      <c r="F679" s="21" t="str">
        <f>HYPERLINK("https://psearch.kitsapgov.com/webappa/index.html?parcelID=2583474&amp;Theme=Imagery","2583474")</f>
        <v>2583474</v>
      </c>
      <c r="G679" s="16" t="s">
        <v>6067</v>
      </c>
      <c r="H679" s="17">
        <v>43458</v>
      </c>
      <c r="I679" s="18">
        <v>205000</v>
      </c>
      <c r="J679" s="19">
        <v>0.22</v>
      </c>
      <c r="K679" s="16" t="s">
        <v>61</v>
      </c>
      <c r="L679" s="16" t="s">
        <v>4645</v>
      </c>
      <c r="M679" s="16" t="s">
        <v>1980</v>
      </c>
      <c r="N679" s="16" t="s">
        <v>6068</v>
      </c>
    </row>
    <row r="680" spans="1:14" ht="20.100000000000001" customHeight="1" x14ac:dyDescent="0.25">
      <c r="A680" s="15" t="s">
        <v>6065</v>
      </c>
      <c r="B680" s="16" t="s">
        <v>57</v>
      </c>
      <c r="C680" s="15">
        <v>8401104</v>
      </c>
      <c r="D680" s="16" t="s">
        <v>144</v>
      </c>
      <c r="E680" s="15" t="s">
        <v>6069</v>
      </c>
      <c r="F680" s="21" t="str">
        <f>HYPERLINK("https://psearch.kitsapgov.com/webappa/index.html?parcelID=2583482&amp;Theme=Imagery","2583482")</f>
        <v>2583482</v>
      </c>
      <c r="G680" s="16" t="s">
        <v>6070</v>
      </c>
      <c r="H680" s="17">
        <v>43458</v>
      </c>
      <c r="I680" s="18">
        <v>205000</v>
      </c>
      <c r="J680" s="19">
        <v>0.25</v>
      </c>
      <c r="K680" s="16" t="s">
        <v>61</v>
      </c>
      <c r="L680" s="16" t="s">
        <v>4645</v>
      </c>
      <c r="M680" s="16" t="s">
        <v>1980</v>
      </c>
      <c r="N680" s="16" t="s">
        <v>6068</v>
      </c>
    </row>
    <row r="681" spans="1:14" ht="39.950000000000003" customHeight="1" x14ac:dyDescent="0.25">
      <c r="A681" s="15" t="s">
        <v>6071</v>
      </c>
      <c r="B681" s="16" t="s">
        <v>347</v>
      </c>
      <c r="C681" s="15">
        <v>8402307</v>
      </c>
      <c r="D681" s="16" t="s">
        <v>151</v>
      </c>
      <c r="E681" s="15" t="s">
        <v>6072</v>
      </c>
      <c r="F681" s="21" t="str">
        <f>HYPERLINK("https://psearch.kitsapgov.com/webappa/index.html?parcelID=1967488&amp;Theme=Imagery","1967488")</f>
        <v>1967488</v>
      </c>
      <c r="G681" s="16" t="s">
        <v>6073</v>
      </c>
      <c r="H681" s="17">
        <v>43460</v>
      </c>
      <c r="I681" s="18">
        <v>420000</v>
      </c>
      <c r="J681" s="19">
        <v>0.25</v>
      </c>
      <c r="K681" s="16" t="s">
        <v>78</v>
      </c>
      <c r="L681" s="16" t="s">
        <v>20</v>
      </c>
      <c r="M681" s="16" t="s">
        <v>6074</v>
      </c>
      <c r="N681" s="16" t="s">
        <v>3155</v>
      </c>
    </row>
    <row r="682" spans="1:14" ht="20.100000000000001" customHeight="1" x14ac:dyDescent="0.25">
      <c r="A682" s="15" t="s">
        <v>6071</v>
      </c>
      <c r="B682" s="16" t="s">
        <v>143</v>
      </c>
      <c r="C682" s="15">
        <v>8402307</v>
      </c>
      <c r="D682" s="16" t="s">
        <v>151</v>
      </c>
      <c r="E682" s="15" t="s">
        <v>6075</v>
      </c>
      <c r="F682" s="21" t="str">
        <f>HYPERLINK("https://psearch.kitsapgov.com/webappa/index.html?parcelID=2125854&amp;Theme=Imagery","2125854")</f>
        <v>2125854</v>
      </c>
      <c r="G682" s="16" t="s">
        <v>6076</v>
      </c>
      <c r="H682" s="17">
        <v>43460</v>
      </c>
      <c r="I682" s="18">
        <v>420000</v>
      </c>
      <c r="J682" s="19">
        <v>0.14000000000000001</v>
      </c>
      <c r="K682" s="16" t="s">
        <v>78</v>
      </c>
      <c r="L682" s="16" t="s">
        <v>20</v>
      </c>
      <c r="M682" s="16" t="s">
        <v>6074</v>
      </c>
      <c r="N682" s="16" t="s">
        <v>3155</v>
      </c>
    </row>
    <row r="683" spans="1:14" ht="39.950000000000003" customHeight="1" x14ac:dyDescent="0.25">
      <c r="A683" s="15" t="s">
        <v>6077</v>
      </c>
      <c r="B683" s="16" t="s">
        <v>330</v>
      </c>
      <c r="C683" s="15">
        <v>8400202</v>
      </c>
      <c r="D683" s="16" t="s">
        <v>158</v>
      </c>
      <c r="E683" s="15" t="s">
        <v>6061</v>
      </c>
      <c r="F683" s="21" t="str">
        <f>HYPERLINK("https://psearch.kitsapgov.com/webappa/index.html?parcelID=1340959&amp;Theme=Imagery","1340959")</f>
        <v>1340959</v>
      </c>
      <c r="G683" s="16" t="s">
        <v>6062</v>
      </c>
      <c r="H683" s="17">
        <v>43467</v>
      </c>
      <c r="I683" s="18">
        <v>475000</v>
      </c>
      <c r="J683" s="19">
        <v>0.14000000000000001</v>
      </c>
      <c r="K683" s="16" t="s">
        <v>100</v>
      </c>
      <c r="L683" s="16" t="s">
        <v>20</v>
      </c>
      <c r="M683" s="16" t="s">
        <v>1928</v>
      </c>
      <c r="N683" s="16" t="s">
        <v>6078</v>
      </c>
    </row>
    <row r="684" spans="1:14" ht="20.100000000000001" customHeight="1" x14ac:dyDescent="0.25">
      <c r="A684" s="15" t="s">
        <v>6077</v>
      </c>
      <c r="B684" s="16" t="s">
        <v>330</v>
      </c>
      <c r="C684" s="15">
        <v>8400202</v>
      </c>
      <c r="D684" s="16" t="s">
        <v>158</v>
      </c>
      <c r="E684" s="15" t="s">
        <v>6063</v>
      </c>
      <c r="F684" s="21" t="str">
        <f>HYPERLINK("https://psearch.kitsapgov.com/webappa/index.html?parcelID=1340967&amp;Theme=Imagery","1340967")</f>
        <v>1340967</v>
      </c>
      <c r="G684" s="16" t="s">
        <v>6064</v>
      </c>
      <c r="H684" s="17">
        <v>43467</v>
      </c>
      <c r="I684" s="18">
        <v>475000</v>
      </c>
      <c r="J684" s="19">
        <v>0.51</v>
      </c>
      <c r="K684" s="16" t="s">
        <v>100</v>
      </c>
      <c r="L684" s="16" t="s">
        <v>20</v>
      </c>
      <c r="M684" s="16" t="s">
        <v>1928</v>
      </c>
      <c r="N684" s="16" t="s">
        <v>6078</v>
      </c>
    </row>
    <row r="685" spans="1:14" ht="39.950000000000003" customHeight="1" x14ac:dyDescent="0.25">
      <c r="A685" s="15" t="s">
        <v>6079</v>
      </c>
      <c r="B685" s="16" t="s">
        <v>368</v>
      </c>
      <c r="C685" s="15">
        <v>8401101</v>
      </c>
      <c r="D685" s="16" t="s">
        <v>185</v>
      </c>
      <c r="E685" s="15" t="s">
        <v>6080</v>
      </c>
      <c r="F685" s="21" t="str">
        <f>HYPERLINK("https://psearch.kitsapgov.com/webappa/index.html?parcelID=2082600&amp;Theme=Imagery","2082600")</f>
        <v>2082600</v>
      </c>
      <c r="G685" s="16" t="s">
        <v>414</v>
      </c>
      <c r="H685" s="17">
        <v>43474</v>
      </c>
      <c r="I685" s="18">
        <v>17600000</v>
      </c>
      <c r="J685" s="19">
        <v>2.5</v>
      </c>
      <c r="K685" s="16" t="s">
        <v>188</v>
      </c>
      <c r="L685" s="16" t="s">
        <v>4645</v>
      </c>
      <c r="M685" s="16" t="s">
        <v>4245</v>
      </c>
      <c r="N685" s="16" t="s">
        <v>6081</v>
      </c>
    </row>
    <row r="686" spans="1:14" ht="20.100000000000001" customHeight="1" x14ac:dyDescent="0.25">
      <c r="A686" s="15" t="s">
        <v>6079</v>
      </c>
      <c r="B686" s="16" t="s">
        <v>96</v>
      </c>
      <c r="C686" s="15">
        <v>8401101</v>
      </c>
      <c r="D686" s="16" t="s">
        <v>185</v>
      </c>
      <c r="E686" s="15" t="s">
        <v>6082</v>
      </c>
      <c r="F686" s="21" t="str">
        <f>HYPERLINK("https://psearch.kitsapgov.com/webappa/index.html?parcelID=2510949&amp;Theme=Imagery","2510949")</f>
        <v>2510949</v>
      </c>
      <c r="G686" s="16" t="s">
        <v>6083</v>
      </c>
      <c r="H686" s="17">
        <v>43474</v>
      </c>
      <c r="I686" s="18">
        <v>17600000</v>
      </c>
      <c r="J686" s="19">
        <v>1.96</v>
      </c>
      <c r="K686" s="16" t="s">
        <v>188</v>
      </c>
      <c r="L686" s="16" t="s">
        <v>4645</v>
      </c>
      <c r="M686" s="16" t="s">
        <v>4245</v>
      </c>
      <c r="N686" s="16" t="s">
        <v>6081</v>
      </c>
    </row>
    <row r="687" spans="1:14" ht="39.950000000000003" customHeight="1" x14ac:dyDescent="0.25">
      <c r="A687" s="15" t="s">
        <v>6084</v>
      </c>
      <c r="B687" s="16" t="s">
        <v>57</v>
      </c>
      <c r="C687" s="15">
        <v>8303601</v>
      </c>
      <c r="D687" s="16" t="s">
        <v>50</v>
      </c>
      <c r="E687" s="15" t="s">
        <v>6085</v>
      </c>
      <c r="F687" s="21" t="str">
        <f>HYPERLINK("https://psearch.kitsapgov.com/webappa/index.html?parcelID=1178953&amp;Theme=Imagery","1178953")</f>
        <v>1178953</v>
      </c>
      <c r="G687" s="16" t="s">
        <v>6086</v>
      </c>
      <c r="H687" s="17">
        <v>43476</v>
      </c>
      <c r="I687" s="18">
        <v>3230000</v>
      </c>
      <c r="J687" s="19">
        <v>2.46</v>
      </c>
      <c r="K687" s="16" t="s">
        <v>1939</v>
      </c>
      <c r="L687" s="16" t="s">
        <v>4645</v>
      </c>
      <c r="M687" s="16" t="s">
        <v>6087</v>
      </c>
      <c r="N687" s="16" t="s">
        <v>6088</v>
      </c>
    </row>
    <row r="688" spans="1:14" ht="20.100000000000001" customHeight="1" x14ac:dyDescent="0.25">
      <c r="A688" s="15" t="s">
        <v>6084</v>
      </c>
      <c r="B688" s="16" t="s">
        <v>57</v>
      </c>
      <c r="C688" s="15">
        <v>7303607</v>
      </c>
      <c r="D688" s="16" t="s">
        <v>6089</v>
      </c>
      <c r="E688" s="15" t="s">
        <v>6090</v>
      </c>
      <c r="F688" s="21" t="str">
        <f>HYPERLINK("https://psearch.kitsapgov.com/webappa/index.html?parcelID=1178961&amp;Theme=Imagery","1178961")</f>
        <v>1178961</v>
      </c>
      <c r="G688" s="16" t="s">
        <v>107</v>
      </c>
      <c r="H688" s="17">
        <v>43476</v>
      </c>
      <c r="I688" s="18">
        <v>3230000</v>
      </c>
      <c r="J688" s="19">
        <v>0.4</v>
      </c>
      <c r="K688" s="16" t="s">
        <v>6091</v>
      </c>
      <c r="L688" s="16" t="s">
        <v>4645</v>
      </c>
      <c r="M688" s="16" t="s">
        <v>6087</v>
      </c>
      <c r="N688" s="16" t="s">
        <v>6088</v>
      </c>
    </row>
    <row r="689" spans="1:14" ht="20.100000000000001" customHeight="1" x14ac:dyDescent="0.25">
      <c r="A689" s="15" t="s">
        <v>6084</v>
      </c>
      <c r="B689" s="16" t="s">
        <v>57</v>
      </c>
      <c r="C689" s="15">
        <v>7303607</v>
      </c>
      <c r="D689" s="16" t="s">
        <v>6089</v>
      </c>
      <c r="E689" s="15" t="s">
        <v>6092</v>
      </c>
      <c r="F689" s="21" t="str">
        <f>HYPERLINK("https://psearch.kitsapgov.com/webappa/index.html?parcelID=1178995&amp;Theme=Imagery","1178995")</f>
        <v>1178995</v>
      </c>
      <c r="G689" s="16" t="s">
        <v>107</v>
      </c>
      <c r="H689" s="17">
        <v>43476</v>
      </c>
      <c r="I689" s="18">
        <v>3230000</v>
      </c>
      <c r="J689" s="19">
        <v>0.52</v>
      </c>
      <c r="K689" s="16" t="s">
        <v>3285</v>
      </c>
      <c r="L689" s="16" t="s">
        <v>4645</v>
      </c>
      <c r="M689" s="16" t="s">
        <v>6087</v>
      </c>
      <c r="N689" s="16" t="s">
        <v>6088</v>
      </c>
    </row>
    <row r="690" spans="1:14" ht="39.950000000000003" customHeight="1" x14ac:dyDescent="0.25">
      <c r="A690" s="15" t="s">
        <v>6093</v>
      </c>
      <c r="B690" s="16" t="s">
        <v>57</v>
      </c>
      <c r="C690" s="15">
        <v>8100502</v>
      </c>
      <c r="D690" s="16" t="s">
        <v>67</v>
      </c>
      <c r="E690" s="15" t="s">
        <v>6094</v>
      </c>
      <c r="F690" s="21" t="str">
        <f>HYPERLINK("https://psearch.kitsapgov.com/webappa/index.html?parcelID=1429778&amp;Theme=Imagery","1429778")</f>
        <v>1429778</v>
      </c>
      <c r="G690" s="16" t="s">
        <v>6095</v>
      </c>
      <c r="H690" s="17">
        <v>43490</v>
      </c>
      <c r="I690" s="18">
        <v>275000</v>
      </c>
      <c r="J690" s="19">
        <v>0.79</v>
      </c>
      <c r="K690" s="16" t="s">
        <v>173</v>
      </c>
      <c r="L690" s="16" t="s">
        <v>4645</v>
      </c>
      <c r="M690" s="16" t="s">
        <v>6096</v>
      </c>
      <c r="N690" s="16" t="s">
        <v>6097</v>
      </c>
    </row>
    <row r="691" spans="1:14" ht="20.100000000000001" customHeight="1" x14ac:dyDescent="0.25">
      <c r="A691" s="15" t="s">
        <v>6093</v>
      </c>
      <c r="B691" s="16" t="s">
        <v>57</v>
      </c>
      <c r="C691" s="15">
        <v>8100502</v>
      </c>
      <c r="D691" s="16" t="s">
        <v>67</v>
      </c>
      <c r="E691" s="15" t="s">
        <v>6098</v>
      </c>
      <c r="F691" s="21" t="str">
        <f>HYPERLINK("https://psearch.kitsapgov.com/webappa/index.html?parcelID=1429786&amp;Theme=Imagery","1429786")</f>
        <v>1429786</v>
      </c>
      <c r="G691" s="16" t="s">
        <v>6099</v>
      </c>
      <c r="H691" s="17">
        <v>43490</v>
      </c>
      <c r="I691" s="18">
        <v>275000</v>
      </c>
      <c r="J691" s="19">
        <v>0.87</v>
      </c>
      <c r="K691" s="16" t="s">
        <v>173</v>
      </c>
      <c r="L691" s="16" t="s">
        <v>4645</v>
      </c>
      <c r="M691" s="16" t="s">
        <v>6096</v>
      </c>
      <c r="N691" s="16" t="s">
        <v>6097</v>
      </c>
    </row>
    <row r="692" spans="1:14" ht="39.950000000000003" customHeight="1" x14ac:dyDescent="0.25">
      <c r="A692" s="15" t="s">
        <v>6100</v>
      </c>
      <c r="B692" s="16" t="s">
        <v>407</v>
      </c>
      <c r="C692" s="15">
        <v>8401102</v>
      </c>
      <c r="D692" s="16" t="s">
        <v>766</v>
      </c>
      <c r="E692" s="15" t="s">
        <v>6101</v>
      </c>
      <c r="F692" s="21" t="str">
        <f>HYPERLINK("https://psearch.kitsapgov.com/webappa/index.html?parcelID=2636694&amp;Theme=Imagery","2636694")</f>
        <v>2636694</v>
      </c>
      <c r="G692" s="16" t="s">
        <v>6102</v>
      </c>
      <c r="H692" s="17">
        <v>43488</v>
      </c>
      <c r="I692" s="18">
        <v>590000</v>
      </c>
      <c r="J692" s="19">
        <v>0</v>
      </c>
      <c r="L692" s="16" t="s">
        <v>4645</v>
      </c>
      <c r="M692" s="16" t="s">
        <v>3764</v>
      </c>
      <c r="N692" s="16" t="s">
        <v>6103</v>
      </c>
    </row>
    <row r="693" spans="1:14" ht="20.100000000000001" customHeight="1" x14ac:dyDescent="0.25">
      <c r="A693" s="15" t="s">
        <v>6100</v>
      </c>
      <c r="B693" s="16" t="s">
        <v>407</v>
      </c>
      <c r="C693" s="15">
        <v>8401102</v>
      </c>
      <c r="D693" s="16" t="s">
        <v>766</v>
      </c>
      <c r="E693" s="15" t="s">
        <v>6104</v>
      </c>
      <c r="F693" s="21" t="str">
        <f>HYPERLINK("https://psearch.kitsapgov.com/webappa/index.html?parcelID=2636710&amp;Theme=Imagery","2636710")</f>
        <v>2636710</v>
      </c>
      <c r="G693" s="16" t="s">
        <v>6105</v>
      </c>
      <c r="H693" s="17">
        <v>43488</v>
      </c>
      <c r="I693" s="18">
        <v>590000</v>
      </c>
      <c r="J693" s="19">
        <v>0</v>
      </c>
      <c r="L693" s="16" t="s">
        <v>4645</v>
      </c>
      <c r="M693" s="16" t="s">
        <v>3764</v>
      </c>
      <c r="N693" s="16" t="s">
        <v>6103</v>
      </c>
    </row>
    <row r="694" spans="1:14" ht="39.950000000000003" customHeight="1" x14ac:dyDescent="0.25">
      <c r="A694" s="15" t="s">
        <v>6106</v>
      </c>
      <c r="B694" s="16" t="s">
        <v>124</v>
      </c>
      <c r="C694" s="15">
        <v>9100541</v>
      </c>
      <c r="D694" s="16" t="s">
        <v>215</v>
      </c>
      <c r="E694" s="15" t="s">
        <v>6107</v>
      </c>
      <c r="F694" s="21" t="str">
        <f>HYPERLINK("https://psearch.kitsapgov.com/webappa/index.html?parcelID=2456911&amp;Theme=Imagery","2456911")</f>
        <v>2456911</v>
      </c>
      <c r="G694" s="16" t="s">
        <v>6108</v>
      </c>
      <c r="H694" s="17">
        <v>43536</v>
      </c>
      <c r="I694" s="18">
        <v>780000</v>
      </c>
      <c r="J694" s="19">
        <v>0.04</v>
      </c>
      <c r="K694" s="16" t="s">
        <v>3559</v>
      </c>
      <c r="L694" s="16" t="s">
        <v>4645</v>
      </c>
      <c r="M694" s="16" t="s">
        <v>6109</v>
      </c>
      <c r="N694" s="16" t="s">
        <v>6110</v>
      </c>
    </row>
    <row r="695" spans="1:14" ht="20.100000000000001" customHeight="1" x14ac:dyDescent="0.25">
      <c r="A695" s="15" t="s">
        <v>6106</v>
      </c>
      <c r="B695" s="16" t="s">
        <v>124</v>
      </c>
      <c r="C695" s="15">
        <v>9100541</v>
      </c>
      <c r="D695" s="16" t="s">
        <v>215</v>
      </c>
      <c r="E695" s="15" t="s">
        <v>6111</v>
      </c>
      <c r="F695" s="21" t="str">
        <f>HYPERLINK("https://psearch.kitsapgov.com/webappa/index.html?parcelID=2456929&amp;Theme=Imagery","2456929")</f>
        <v>2456929</v>
      </c>
      <c r="G695" s="16" t="s">
        <v>6112</v>
      </c>
      <c r="H695" s="17">
        <v>43536</v>
      </c>
      <c r="I695" s="18">
        <v>780000</v>
      </c>
      <c r="J695" s="19">
        <v>0.04</v>
      </c>
      <c r="K695" s="16" t="s">
        <v>3559</v>
      </c>
      <c r="L695" s="16" t="s">
        <v>4645</v>
      </c>
      <c r="M695" s="16" t="s">
        <v>6109</v>
      </c>
      <c r="N695" s="16" t="s">
        <v>6110</v>
      </c>
    </row>
    <row r="696" spans="1:14" ht="20.100000000000001" customHeight="1" x14ac:dyDescent="0.25">
      <c r="A696" s="15" t="s">
        <v>6106</v>
      </c>
      <c r="B696" s="16" t="s">
        <v>124</v>
      </c>
      <c r="C696" s="15">
        <v>9100541</v>
      </c>
      <c r="D696" s="16" t="s">
        <v>215</v>
      </c>
      <c r="E696" s="15" t="s">
        <v>6113</v>
      </c>
      <c r="F696" s="21" t="str">
        <f>HYPERLINK("https://psearch.kitsapgov.com/webappa/index.html?parcelID=2456937&amp;Theme=Imagery","2456937")</f>
        <v>2456937</v>
      </c>
      <c r="G696" s="16" t="s">
        <v>6114</v>
      </c>
      <c r="H696" s="17">
        <v>43536</v>
      </c>
      <c r="I696" s="18">
        <v>780000</v>
      </c>
      <c r="J696" s="19">
        <v>0.09</v>
      </c>
      <c r="K696" s="16" t="s">
        <v>3559</v>
      </c>
      <c r="L696" s="16" t="s">
        <v>4645</v>
      </c>
      <c r="M696" s="16" t="s">
        <v>6109</v>
      </c>
      <c r="N696" s="16" t="s">
        <v>6110</v>
      </c>
    </row>
    <row r="697" spans="1:14" ht="39.950000000000003" customHeight="1" x14ac:dyDescent="0.25">
      <c r="A697" s="15" t="s">
        <v>6115</v>
      </c>
      <c r="B697" s="16" t="s">
        <v>57</v>
      </c>
      <c r="C697" s="15">
        <v>7100541</v>
      </c>
      <c r="D697" s="16" t="s">
        <v>5599</v>
      </c>
      <c r="E697" s="15" t="s">
        <v>5916</v>
      </c>
      <c r="F697" s="21" t="str">
        <f>HYPERLINK("https://psearch.kitsapgov.com/webappa/index.html?parcelID=2362309&amp;Theme=Imagery","2362309")</f>
        <v>2362309</v>
      </c>
      <c r="G697" s="16" t="s">
        <v>5917</v>
      </c>
      <c r="H697" s="17">
        <v>43553</v>
      </c>
      <c r="I697" s="18">
        <v>3190000</v>
      </c>
      <c r="J697" s="19">
        <v>33.869999999999997</v>
      </c>
      <c r="K697" s="16" t="s">
        <v>235</v>
      </c>
      <c r="L697" s="16" t="s">
        <v>4645</v>
      </c>
      <c r="M697" s="16" t="s">
        <v>1928</v>
      </c>
      <c r="N697" s="16" t="s">
        <v>6116</v>
      </c>
    </row>
    <row r="698" spans="1:14" ht="20.100000000000001" customHeight="1" x14ac:dyDescent="0.25">
      <c r="A698" s="15" t="s">
        <v>6115</v>
      </c>
      <c r="B698" s="16" t="s">
        <v>57</v>
      </c>
      <c r="C698" s="15">
        <v>8100502</v>
      </c>
      <c r="D698" s="16" t="s">
        <v>67</v>
      </c>
      <c r="E698" s="15" t="s">
        <v>5919</v>
      </c>
      <c r="F698" s="21" t="str">
        <f>HYPERLINK("https://psearch.kitsapgov.com/webappa/index.html?parcelID=2505394&amp;Theme=Imagery","2505394")</f>
        <v>2505394</v>
      </c>
      <c r="G698" s="16" t="s">
        <v>5920</v>
      </c>
      <c r="H698" s="17">
        <v>43553</v>
      </c>
      <c r="I698" s="18">
        <v>3190000</v>
      </c>
      <c r="J698" s="19">
        <v>1.08</v>
      </c>
      <c r="K698" s="16" t="s">
        <v>173</v>
      </c>
      <c r="L698" s="16" t="s">
        <v>4645</v>
      </c>
      <c r="M698" s="16" t="s">
        <v>1928</v>
      </c>
      <c r="N698" s="16" t="s">
        <v>6116</v>
      </c>
    </row>
    <row r="699" spans="1:14" ht="39.950000000000003" customHeight="1" x14ac:dyDescent="0.25">
      <c r="A699" s="15" t="s">
        <v>6117</v>
      </c>
      <c r="B699" s="16" t="s">
        <v>57</v>
      </c>
      <c r="C699" s="15">
        <v>8100510</v>
      </c>
      <c r="D699" s="16" t="s">
        <v>401</v>
      </c>
      <c r="E699" s="15" t="s">
        <v>6118</v>
      </c>
      <c r="F699" s="21" t="str">
        <f>HYPERLINK("https://psearch.kitsapgov.com/webappa/index.html?parcelID=1439280&amp;Theme=Imagery","1439280")</f>
        <v>1439280</v>
      </c>
      <c r="G699" s="16" t="s">
        <v>6119</v>
      </c>
      <c r="H699" s="17">
        <v>43557</v>
      </c>
      <c r="I699" s="18">
        <v>203950</v>
      </c>
      <c r="J699" s="19">
        <v>0.63</v>
      </c>
      <c r="K699" s="16" t="s">
        <v>28</v>
      </c>
      <c r="L699" s="16" t="s">
        <v>4645</v>
      </c>
      <c r="M699" s="16" t="s">
        <v>6120</v>
      </c>
      <c r="N699" s="16" t="s">
        <v>6121</v>
      </c>
    </row>
    <row r="700" spans="1:14" ht="20.100000000000001" customHeight="1" x14ac:dyDescent="0.25">
      <c r="A700" s="15" t="s">
        <v>6117</v>
      </c>
      <c r="B700" s="16" t="s">
        <v>57</v>
      </c>
      <c r="C700" s="15">
        <v>8100510</v>
      </c>
      <c r="D700" s="16" t="s">
        <v>401</v>
      </c>
      <c r="E700" s="15" t="s">
        <v>6122</v>
      </c>
      <c r="F700" s="21" t="str">
        <f>HYPERLINK("https://psearch.kitsapgov.com/webappa/index.html?parcelID=1439314&amp;Theme=Imagery","1439314")</f>
        <v>1439314</v>
      </c>
      <c r="G700" s="16" t="s">
        <v>6123</v>
      </c>
      <c r="H700" s="17">
        <v>43557</v>
      </c>
      <c r="I700" s="18">
        <v>203950</v>
      </c>
      <c r="J700" s="19">
        <v>0.15</v>
      </c>
      <c r="K700" s="16" t="s">
        <v>28</v>
      </c>
      <c r="L700" s="16" t="s">
        <v>4645</v>
      </c>
      <c r="M700" s="16" t="s">
        <v>6120</v>
      </c>
      <c r="N700" s="16" t="s">
        <v>6121</v>
      </c>
    </row>
    <row r="701" spans="1:14" ht="39.950000000000003" customHeight="1" x14ac:dyDescent="0.25">
      <c r="A701" s="15" t="s">
        <v>6124</v>
      </c>
      <c r="B701" s="16" t="s">
        <v>89</v>
      </c>
      <c r="C701" s="15">
        <v>8400301</v>
      </c>
      <c r="D701" s="16" t="s">
        <v>1139</v>
      </c>
      <c r="E701" s="15" t="s">
        <v>6125</v>
      </c>
      <c r="F701" s="21" t="str">
        <f>HYPERLINK("https://psearch.kitsapgov.com/webappa/index.html?parcelID=1582170&amp;Theme=Imagery","1582170")</f>
        <v>1582170</v>
      </c>
      <c r="G701" s="16" t="s">
        <v>6126</v>
      </c>
      <c r="H701" s="17">
        <v>43564</v>
      </c>
      <c r="I701" s="18">
        <v>888125</v>
      </c>
      <c r="J701" s="19">
        <v>0.1</v>
      </c>
      <c r="K701" s="16" t="s">
        <v>1142</v>
      </c>
      <c r="L701" s="16" t="s">
        <v>4645</v>
      </c>
      <c r="M701" s="16" t="s">
        <v>6127</v>
      </c>
      <c r="N701" s="16" t="s">
        <v>6128</v>
      </c>
    </row>
    <row r="702" spans="1:14" ht="20.100000000000001" customHeight="1" x14ac:dyDescent="0.25">
      <c r="A702" s="15" t="s">
        <v>6124</v>
      </c>
      <c r="B702" s="16" t="s">
        <v>89</v>
      </c>
      <c r="C702" s="15">
        <v>8400301</v>
      </c>
      <c r="D702" s="16" t="s">
        <v>1139</v>
      </c>
      <c r="E702" s="15" t="s">
        <v>6129</v>
      </c>
      <c r="F702" s="21" t="str">
        <f>HYPERLINK("https://psearch.kitsapgov.com/webappa/index.html?parcelID=1582220&amp;Theme=Imagery","1582220")</f>
        <v>1582220</v>
      </c>
      <c r="G702" s="16" t="s">
        <v>6130</v>
      </c>
      <c r="H702" s="17">
        <v>43564</v>
      </c>
      <c r="I702" s="18">
        <v>888125</v>
      </c>
      <c r="J702" s="19">
        <v>0.22</v>
      </c>
      <c r="K702" s="16" t="s">
        <v>1142</v>
      </c>
      <c r="L702" s="16" t="s">
        <v>4645</v>
      </c>
      <c r="M702" s="16" t="s">
        <v>6127</v>
      </c>
      <c r="N702" s="16" t="s">
        <v>6128</v>
      </c>
    </row>
    <row r="703" spans="1:14" ht="39.950000000000003" customHeight="1" x14ac:dyDescent="0.25">
      <c r="A703" s="15" t="s">
        <v>6131</v>
      </c>
      <c r="B703" s="16" t="s">
        <v>57</v>
      </c>
      <c r="C703" s="15">
        <v>8401104</v>
      </c>
      <c r="D703" s="16" t="s">
        <v>144</v>
      </c>
      <c r="E703" s="15" t="s">
        <v>6132</v>
      </c>
      <c r="F703" s="21" t="str">
        <f>HYPERLINK("https://psearch.kitsapgov.com/webappa/index.html?parcelID=2582625&amp;Theme=Imagery","2582625")</f>
        <v>2582625</v>
      </c>
      <c r="G703" s="16" t="s">
        <v>6133</v>
      </c>
      <c r="H703" s="17">
        <v>43614</v>
      </c>
      <c r="I703" s="18">
        <v>435000</v>
      </c>
      <c r="J703" s="19">
        <v>0.45</v>
      </c>
      <c r="K703" s="16" t="s">
        <v>61</v>
      </c>
      <c r="L703" s="16" t="s">
        <v>1933</v>
      </c>
      <c r="M703" s="16" t="s">
        <v>1980</v>
      </c>
      <c r="N703" s="16" t="s">
        <v>6068</v>
      </c>
    </row>
    <row r="704" spans="1:14" ht="20.100000000000001" customHeight="1" x14ac:dyDescent="0.25">
      <c r="A704" s="15" t="s">
        <v>6131</v>
      </c>
      <c r="B704" s="16" t="s">
        <v>57</v>
      </c>
      <c r="C704" s="15">
        <v>8401104</v>
      </c>
      <c r="D704" s="16" t="s">
        <v>144</v>
      </c>
      <c r="E704" s="15" t="s">
        <v>6134</v>
      </c>
      <c r="F704" s="21" t="str">
        <f>HYPERLINK("https://psearch.kitsapgov.com/webappa/index.html?parcelID=2582690&amp;Theme=Imagery","2582690")</f>
        <v>2582690</v>
      </c>
      <c r="G704" s="16" t="s">
        <v>6135</v>
      </c>
      <c r="H704" s="17">
        <v>43614</v>
      </c>
      <c r="I704" s="18">
        <v>435000</v>
      </c>
      <c r="J704" s="19">
        <v>0.46</v>
      </c>
      <c r="K704" s="16" t="s">
        <v>61</v>
      </c>
      <c r="L704" s="16" t="s">
        <v>1933</v>
      </c>
      <c r="M704" s="16" t="s">
        <v>1980</v>
      </c>
      <c r="N704" s="16" t="s">
        <v>6068</v>
      </c>
    </row>
    <row r="705" spans="1:14" ht="39.950000000000003" customHeight="1" x14ac:dyDescent="0.25">
      <c r="A705" s="15" t="s">
        <v>6136</v>
      </c>
      <c r="B705" s="16" t="s">
        <v>57</v>
      </c>
      <c r="C705" s="15">
        <v>7303604</v>
      </c>
      <c r="D705" s="16" t="s">
        <v>4746</v>
      </c>
      <c r="E705" s="15" t="s">
        <v>6137</v>
      </c>
      <c r="F705" s="21" t="str">
        <f>HYPERLINK("https://psearch.kitsapgov.com/webappa/index.html?parcelID=2637114&amp;Theme=Imagery","2637114")</f>
        <v>2637114</v>
      </c>
      <c r="G705" s="16" t="s">
        <v>107</v>
      </c>
      <c r="H705" s="17">
        <v>43621</v>
      </c>
      <c r="I705" s="18">
        <v>2000000</v>
      </c>
      <c r="J705" s="19">
        <v>0.04</v>
      </c>
      <c r="K705" s="16" t="s">
        <v>4147</v>
      </c>
      <c r="L705" s="16" t="s">
        <v>4645</v>
      </c>
      <c r="M705" s="16" t="s">
        <v>5717</v>
      </c>
      <c r="N705" s="16" t="s">
        <v>6138</v>
      </c>
    </row>
    <row r="706" spans="1:14" ht="20.100000000000001" customHeight="1" x14ac:dyDescent="0.25">
      <c r="A706" s="15" t="s">
        <v>6136</v>
      </c>
      <c r="B706" s="16" t="s">
        <v>57</v>
      </c>
      <c r="C706" s="15">
        <v>7303604</v>
      </c>
      <c r="D706" s="16" t="s">
        <v>4746</v>
      </c>
      <c r="E706" s="15" t="s">
        <v>6139</v>
      </c>
      <c r="F706" s="21" t="str">
        <f>HYPERLINK("https://psearch.kitsapgov.com/webappa/index.html?parcelID=2637122&amp;Theme=Imagery","2637122")</f>
        <v>2637122</v>
      </c>
      <c r="G706" s="16" t="s">
        <v>107</v>
      </c>
      <c r="H706" s="17">
        <v>43621</v>
      </c>
      <c r="I706" s="18">
        <v>2000000</v>
      </c>
      <c r="J706" s="19">
        <v>0.04</v>
      </c>
      <c r="K706" s="16" t="s">
        <v>4147</v>
      </c>
      <c r="L706" s="16" t="s">
        <v>4645</v>
      </c>
      <c r="M706" s="16" t="s">
        <v>5717</v>
      </c>
      <c r="N706" s="16" t="s">
        <v>6138</v>
      </c>
    </row>
    <row r="707" spans="1:14" ht="20.100000000000001" customHeight="1" x14ac:dyDescent="0.25">
      <c r="A707" s="15" t="s">
        <v>6136</v>
      </c>
      <c r="B707" s="16" t="s">
        <v>57</v>
      </c>
      <c r="C707" s="15">
        <v>7303604</v>
      </c>
      <c r="D707" s="16" t="s">
        <v>4746</v>
      </c>
      <c r="E707" s="15" t="s">
        <v>6140</v>
      </c>
      <c r="F707" s="21" t="str">
        <f>HYPERLINK("https://psearch.kitsapgov.com/webappa/index.html?parcelID=2637130&amp;Theme=Imagery","2637130")</f>
        <v>2637130</v>
      </c>
      <c r="G707" s="16" t="s">
        <v>107</v>
      </c>
      <c r="H707" s="17">
        <v>43621</v>
      </c>
      <c r="I707" s="18">
        <v>2000000</v>
      </c>
      <c r="J707" s="19">
        <v>0.04</v>
      </c>
      <c r="K707" s="16" t="s">
        <v>4147</v>
      </c>
      <c r="L707" s="16" t="s">
        <v>4645</v>
      </c>
      <c r="M707" s="16" t="s">
        <v>5717</v>
      </c>
      <c r="N707" s="16" t="s">
        <v>6138</v>
      </c>
    </row>
    <row r="708" spans="1:14" ht="20.100000000000001" customHeight="1" x14ac:dyDescent="0.25">
      <c r="A708" s="15" t="s">
        <v>6136</v>
      </c>
      <c r="B708" s="16" t="s">
        <v>57</v>
      </c>
      <c r="C708" s="15">
        <v>7303604</v>
      </c>
      <c r="D708" s="16" t="s">
        <v>4746</v>
      </c>
      <c r="E708" s="15" t="s">
        <v>6141</v>
      </c>
      <c r="F708" s="21" t="str">
        <f>HYPERLINK("https://psearch.kitsapgov.com/webappa/index.html?parcelID=2637148&amp;Theme=Imagery","2637148")</f>
        <v>2637148</v>
      </c>
      <c r="G708" s="16" t="s">
        <v>107</v>
      </c>
      <c r="H708" s="17">
        <v>43621</v>
      </c>
      <c r="I708" s="18">
        <v>2000000</v>
      </c>
      <c r="J708" s="19">
        <v>0.04</v>
      </c>
      <c r="K708" s="16" t="s">
        <v>4147</v>
      </c>
      <c r="L708" s="16" t="s">
        <v>4645</v>
      </c>
      <c r="M708" s="16" t="s">
        <v>5717</v>
      </c>
      <c r="N708" s="16" t="s">
        <v>6138</v>
      </c>
    </row>
    <row r="709" spans="1:14" ht="20.100000000000001" customHeight="1" x14ac:dyDescent="0.25">
      <c r="A709" s="15" t="s">
        <v>6136</v>
      </c>
      <c r="B709" s="16" t="s">
        <v>57</v>
      </c>
      <c r="C709" s="15">
        <v>7303604</v>
      </c>
      <c r="D709" s="16" t="s">
        <v>4746</v>
      </c>
      <c r="E709" s="15" t="s">
        <v>6142</v>
      </c>
      <c r="F709" s="21" t="str">
        <f>HYPERLINK("https://psearch.kitsapgov.com/webappa/index.html?parcelID=2637155&amp;Theme=Imagery","2637155")</f>
        <v>2637155</v>
      </c>
      <c r="G709" s="16" t="s">
        <v>107</v>
      </c>
      <c r="H709" s="17">
        <v>43621</v>
      </c>
      <c r="I709" s="18">
        <v>2000000</v>
      </c>
      <c r="J709" s="19">
        <v>0.04</v>
      </c>
      <c r="K709" s="16" t="s">
        <v>4147</v>
      </c>
      <c r="L709" s="16" t="s">
        <v>4645</v>
      </c>
      <c r="M709" s="16" t="s">
        <v>5717</v>
      </c>
      <c r="N709" s="16" t="s">
        <v>6138</v>
      </c>
    </row>
    <row r="710" spans="1:14" ht="20.100000000000001" customHeight="1" x14ac:dyDescent="0.25">
      <c r="A710" s="15" t="s">
        <v>6136</v>
      </c>
      <c r="B710" s="16" t="s">
        <v>57</v>
      </c>
      <c r="C710" s="15">
        <v>7303604</v>
      </c>
      <c r="D710" s="16" t="s">
        <v>4746</v>
      </c>
      <c r="E710" s="15" t="s">
        <v>6143</v>
      </c>
      <c r="F710" s="21" t="str">
        <f>HYPERLINK("https://psearch.kitsapgov.com/webappa/index.html?parcelID=2637163&amp;Theme=Imagery","2637163")</f>
        <v>2637163</v>
      </c>
      <c r="G710" s="16" t="s">
        <v>107</v>
      </c>
      <c r="H710" s="17">
        <v>43621</v>
      </c>
      <c r="I710" s="18">
        <v>2000000</v>
      </c>
      <c r="J710" s="19">
        <v>0.04</v>
      </c>
      <c r="K710" s="16" t="s">
        <v>4147</v>
      </c>
      <c r="L710" s="16" t="s">
        <v>4645</v>
      </c>
      <c r="M710" s="16" t="s">
        <v>5717</v>
      </c>
      <c r="N710" s="16" t="s">
        <v>6138</v>
      </c>
    </row>
    <row r="711" spans="1:14" ht="20.100000000000001" customHeight="1" x14ac:dyDescent="0.25">
      <c r="A711" s="15" t="s">
        <v>6136</v>
      </c>
      <c r="B711" s="16" t="s">
        <v>57</v>
      </c>
      <c r="C711" s="15">
        <v>7303604</v>
      </c>
      <c r="D711" s="16" t="s">
        <v>4746</v>
      </c>
      <c r="E711" s="15" t="s">
        <v>6144</v>
      </c>
      <c r="F711" s="21" t="str">
        <f>HYPERLINK("https://psearch.kitsapgov.com/webappa/index.html?parcelID=2637171&amp;Theme=Imagery","2637171")</f>
        <v>2637171</v>
      </c>
      <c r="G711" s="16" t="s">
        <v>107</v>
      </c>
      <c r="H711" s="17">
        <v>43621</v>
      </c>
      <c r="I711" s="18">
        <v>2000000</v>
      </c>
      <c r="J711" s="19">
        <v>0.04</v>
      </c>
      <c r="K711" s="16" t="s">
        <v>4147</v>
      </c>
      <c r="L711" s="16" t="s">
        <v>4645</v>
      </c>
      <c r="M711" s="16" t="s">
        <v>5717</v>
      </c>
      <c r="N711" s="16" t="s">
        <v>6138</v>
      </c>
    </row>
    <row r="712" spans="1:14" ht="20.100000000000001" customHeight="1" x14ac:dyDescent="0.25">
      <c r="A712" s="15" t="s">
        <v>6136</v>
      </c>
      <c r="B712" s="16" t="s">
        <v>57</v>
      </c>
      <c r="C712" s="15">
        <v>7303604</v>
      </c>
      <c r="D712" s="16" t="s">
        <v>4746</v>
      </c>
      <c r="E712" s="15" t="s">
        <v>6145</v>
      </c>
      <c r="F712" s="21" t="str">
        <f>HYPERLINK("https://psearch.kitsapgov.com/webappa/index.html?parcelID=2637189&amp;Theme=Imagery","2637189")</f>
        <v>2637189</v>
      </c>
      <c r="G712" s="16" t="s">
        <v>107</v>
      </c>
      <c r="H712" s="17">
        <v>43621</v>
      </c>
      <c r="I712" s="18">
        <v>2000000</v>
      </c>
      <c r="J712" s="19">
        <v>0.04</v>
      </c>
      <c r="K712" s="16" t="s">
        <v>4147</v>
      </c>
      <c r="L712" s="16" t="s">
        <v>4645</v>
      </c>
      <c r="M712" s="16" t="s">
        <v>5717</v>
      </c>
      <c r="N712" s="16" t="s">
        <v>6138</v>
      </c>
    </row>
    <row r="713" spans="1:14" ht="20.100000000000001" customHeight="1" x14ac:dyDescent="0.25">
      <c r="A713" s="15" t="s">
        <v>6136</v>
      </c>
      <c r="B713" s="16" t="s">
        <v>57</v>
      </c>
      <c r="C713" s="15">
        <v>7303604</v>
      </c>
      <c r="D713" s="16" t="s">
        <v>4746</v>
      </c>
      <c r="E713" s="15" t="s">
        <v>6146</v>
      </c>
      <c r="F713" s="21" t="str">
        <f>HYPERLINK("https://psearch.kitsapgov.com/webappa/index.html?parcelID=2637197&amp;Theme=Imagery","2637197")</f>
        <v>2637197</v>
      </c>
      <c r="G713" s="16" t="s">
        <v>107</v>
      </c>
      <c r="H713" s="17">
        <v>43621</v>
      </c>
      <c r="I713" s="18">
        <v>2000000</v>
      </c>
      <c r="J713" s="19">
        <v>0.04</v>
      </c>
      <c r="K713" s="16" t="s">
        <v>4147</v>
      </c>
      <c r="L713" s="16" t="s">
        <v>4645</v>
      </c>
      <c r="M713" s="16" t="s">
        <v>5717</v>
      </c>
      <c r="N713" s="16" t="s">
        <v>6138</v>
      </c>
    </row>
    <row r="714" spans="1:14" ht="20.100000000000001" customHeight="1" x14ac:dyDescent="0.25">
      <c r="A714" s="15" t="s">
        <v>6136</v>
      </c>
      <c r="B714" s="16" t="s">
        <v>57</v>
      </c>
      <c r="C714" s="15">
        <v>7303604</v>
      </c>
      <c r="D714" s="16" t="s">
        <v>4746</v>
      </c>
      <c r="E714" s="15" t="s">
        <v>6147</v>
      </c>
      <c r="F714" s="21" t="str">
        <f>HYPERLINK("https://psearch.kitsapgov.com/webappa/index.html?parcelID=2637205&amp;Theme=Imagery","2637205")</f>
        <v>2637205</v>
      </c>
      <c r="G714" s="16" t="s">
        <v>107</v>
      </c>
      <c r="H714" s="17">
        <v>43621</v>
      </c>
      <c r="I714" s="18">
        <v>2000000</v>
      </c>
      <c r="J714" s="19">
        <v>0.04</v>
      </c>
      <c r="K714" s="16" t="s">
        <v>4147</v>
      </c>
      <c r="L714" s="16" t="s">
        <v>4645</v>
      </c>
      <c r="M714" s="16" t="s">
        <v>5717</v>
      </c>
      <c r="N714" s="16" t="s">
        <v>6138</v>
      </c>
    </row>
    <row r="715" spans="1:14" ht="20.100000000000001" customHeight="1" x14ac:dyDescent="0.25">
      <c r="A715" s="15" t="s">
        <v>6136</v>
      </c>
      <c r="B715" s="16" t="s">
        <v>57</v>
      </c>
      <c r="C715" s="15">
        <v>7303604</v>
      </c>
      <c r="D715" s="16" t="s">
        <v>4746</v>
      </c>
      <c r="E715" s="15" t="s">
        <v>6148</v>
      </c>
      <c r="F715" s="21" t="str">
        <f>HYPERLINK("https://psearch.kitsapgov.com/webappa/index.html?parcelID=2637213&amp;Theme=Imagery","2637213")</f>
        <v>2637213</v>
      </c>
      <c r="G715" s="16" t="s">
        <v>107</v>
      </c>
      <c r="H715" s="17">
        <v>43621</v>
      </c>
      <c r="I715" s="18">
        <v>2000000</v>
      </c>
      <c r="J715" s="19">
        <v>0.04</v>
      </c>
      <c r="K715" s="16" t="s">
        <v>4147</v>
      </c>
      <c r="L715" s="16" t="s">
        <v>4645</v>
      </c>
      <c r="M715" s="16" t="s">
        <v>5717</v>
      </c>
      <c r="N715" s="16" t="s">
        <v>6138</v>
      </c>
    </row>
    <row r="716" spans="1:14" ht="20.100000000000001" customHeight="1" x14ac:dyDescent="0.25">
      <c r="A716" s="15" t="s">
        <v>6136</v>
      </c>
      <c r="B716" s="16" t="s">
        <v>57</v>
      </c>
      <c r="C716" s="15">
        <v>7303604</v>
      </c>
      <c r="D716" s="16" t="s">
        <v>4746</v>
      </c>
      <c r="E716" s="15" t="s">
        <v>6149</v>
      </c>
      <c r="F716" s="21" t="str">
        <f>HYPERLINK("https://psearch.kitsapgov.com/webappa/index.html?parcelID=2637221&amp;Theme=Imagery","2637221")</f>
        <v>2637221</v>
      </c>
      <c r="G716" s="16" t="s">
        <v>107</v>
      </c>
      <c r="H716" s="17">
        <v>43621</v>
      </c>
      <c r="I716" s="18">
        <v>2000000</v>
      </c>
      <c r="J716" s="19">
        <v>0.04</v>
      </c>
      <c r="K716" s="16" t="s">
        <v>4147</v>
      </c>
      <c r="L716" s="16" t="s">
        <v>4645</v>
      </c>
      <c r="M716" s="16" t="s">
        <v>5717</v>
      </c>
      <c r="N716" s="16" t="s">
        <v>6138</v>
      </c>
    </row>
    <row r="717" spans="1:14" ht="20.100000000000001" customHeight="1" x14ac:dyDescent="0.25">
      <c r="A717" s="15" t="s">
        <v>6136</v>
      </c>
      <c r="B717" s="16" t="s">
        <v>57</v>
      </c>
      <c r="C717" s="15">
        <v>7303604</v>
      </c>
      <c r="D717" s="16" t="s">
        <v>4746</v>
      </c>
      <c r="E717" s="15" t="s">
        <v>6150</v>
      </c>
      <c r="F717" s="21" t="str">
        <f>HYPERLINK("https://psearch.kitsapgov.com/webappa/index.html?parcelID=2637239&amp;Theme=Imagery","2637239")</f>
        <v>2637239</v>
      </c>
      <c r="G717" s="16" t="s">
        <v>107</v>
      </c>
      <c r="H717" s="17">
        <v>43621</v>
      </c>
      <c r="I717" s="18">
        <v>2000000</v>
      </c>
      <c r="J717" s="19">
        <v>0.04</v>
      </c>
      <c r="K717" s="16" t="s">
        <v>4147</v>
      </c>
      <c r="L717" s="16" t="s">
        <v>4645</v>
      </c>
      <c r="M717" s="16" t="s">
        <v>5717</v>
      </c>
      <c r="N717" s="16" t="s">
        <v>6138</v>
      </c>
    </row>
    <row r="718" spans="1:14" ht="20.100000000000001" customHeight="1" x14ac:dyDescent="0.25">
      <c r="A718" s="15" t="s">
        <v>6136</v>
      </c>
      <c r="B718" s="16" t="s">
        <v>57</v>
      </c>
      <c r="C718" s="15">
        <v>7303604</v>
      </c>
      <c r="D718" s="16" t="s">
        <v>4746</v>
      </c>
      <c r="E718" s="15" t="s">
        <v>6151</v>
      </c>
      <c r="F718" s="21" t="str">
        <f>HYPERLINK("https://psearch.kitsapgov.com/webappa/index.html?parcelID=2637247&amp;Theme=Imagery","2637247")</f>
        <v>2637247</v>
      </c>
      <c r="G718" s="16" t="s">
        <v>107</v>
      </c>
      <c r="H718" s="17">
        <v>43621</v>
      </c>
      <c r="I718" s="18">
        <v>2000000</v>
      </c>
      <c r="J718" s="19">
        <v>0.06</v>
      </c>
      <c r="K718" s="16" t="s">
        <v>4147</v>
      </c>
      <c r="L718" s="16" t="s">
        <v>4645</v>
      </c>
      <c r="M718" s="16" t="s">
        <v>5717</v>
      </c>
      <c r="N718" s="16" t="s">
        <v>6138</v>
      </c>
    </row>
    <row r="719" spans="1:14" ht="20.100000000000001" customHeight="1" x14ac:dyDescent="0.25">
      <c r="A719" s="15" t="s">
        <v>6136</v>
      </c>
      <c r="B719" s="16" t="s">
        <v>57</v>
      </c>
      <c r="C719" s="15">
        <v>7303604</v>
      </c>
      <c r="D719" s="16" t="s">
        <v>4746</v>
      </c>
      <c r="E719" s="15" t="s">
        <v>6152</v>
      </c>
      <c r="F719" s="21" t="str">
        <f>HYPERLINK("https://psearch.kitsapgov.com/webappa/index.html?parcelID=2637254&amp;Theme=Imagery","2637254")</f>
        <v>2637254</v>
      </c>
      <c r="G719" s="16" t="s">
        <v>107</v>
      </c>
      <c r="H719" s="17">
        <v>43621</v>
      </c>
      <c r="I719" s="18">
        <v>2000000</v>
      </c>
      <c r="J719" s="19">
        <v>0.05</v>
      </c>
      <c r="K719" s="16" t="s">
        <v>4147</v>
      </c>
      <c r="L719" s="16" t="s">
        <v>4645</v>
      </c>
      <c r="M719" s="16" t="s">
        <v>5717</v>
      </c>
      <c r="N719" s="16" t="s">
        <v>6138</v>
      </c>
    </row>
    <row r="720" spans="1:14" ht="20.100000000000001" customHeight="1" x14ac:dyDescent="0.25">
      <c r="A720" s="15" t="s">
        <v>6136</v>
      </c>
      <c r="B720" s="16" t="s">
        <v>57</v>
      </c>
      <c r="C720" s="15">
        <v>7303604</v>
      </c>
      <c r="D720" s="16" t="s">
        <v>4746</v>
      </c>
      <c r="E720" s="15" t="s">
        <v>6153</v>
      </c>
      <c r="F720" s="21" t="str">
        <f>HYPERLINK("https://psearch.kitsapgov.com/webappa/index.html?parcelID=2637262&amp;Theme=Imagery","2637262")</f>
        <v>2637262</v>
      </c>
      <c r="G720" s="16" t="s">
        <v>107</v>
      </c>
      <c r="H720" s="17">
        <v>43621</v>
      </c>
      <c r="I720" s="18">
        <v>2000000</v>
      </c>
      <c r="J720" s="19">
        <v>0.05</v>
      </c>
      <c r="K720" s="16" t="s">
        <v>4147</v>
      </c>
      <c r="L720" s="16" t="s">
        <v>4645</v>
      </c>
      <c r="M720" s="16" t="s">
        <v>5717</v>
      </c>
      <c r="N720" s="16" t="s">
        <v>6138</v>
      </c>
    </row>
    <row r="721" spans="1:14" ht="20.100000000000001" customHeight="1" x14ac:dyDescent="0.25">
      <c r="A721" s="15" t="s">
        <v>6136</v>
      </c>
      <c r="B721" s="16" t="s">
        <v>57</v>
      </c>
      <c r="C721" s="15">
        <v>7303604</v>
      </c>
      <c r="D721" s="16" t="s">
        <v>4746</v>
      </c>
      <c r="E721" s="15" t="s">
        <v>6154</v>
      </c>
      <c r="F721" s="21" t="str">
        <f>HYPERLINK("https://psearch.kitsapgov.com/webappa/index.html?parcelID=2637270&amp;Theme=Imagery","2637270")</f>
        <v>2637270</v>
      </c>
      <c r="G721" s="16" t="s">
        <v>107</v>
      </c>
      <c r="H721" s="17">
        <v>43621</v>
      </c>
      <c r="I721" s="18">
        <v>2000000</v>
      </c>
      <c r="J721" s="19">
        <v>0.05</v>
      </c>
      <c r="K721" s="16" t="s">
        <v>4147</v>
      </c>
      <c r="L721" s="16" t="s">
        <v>4645</v>
      </c>
      <c r="M721" s="16" t="s">
        <v>5717</v>
      </c>
      <c r="N721" s="16" t="s">
        <v>6138</v>
      </c>
    </row>
    <row r="722" spans="1:14" ht="20.100000000000001" customHeight="1" x14ac:dyDescent="0.25">
      <c r="A722" s="15" t="s">
        <v>6136</v>
      </c>
      <c r="B722" s="16" t="s">
        <v>57</v>
      </c>
      <c r="C722" s="15">
        <v>7303604</v>
      </c>
      <c r="D722" s="16" t="s">
        <v>4746</v>
      </c>
      <c r="E722" s="15" t="s">
        <v>6155</v>
      </c>
      <c r="F722" s="21" t="str">
        <f>HYPERLINK("https://psearch.kitsapgov.com/webappa/index.html?parcelID=2637288&amp;Theme=Imagery","2637288")</f>
        <v>2637288</v>
      </c>
      <c r="G722" s="16" t="s">
        <v>107</v>
      </c>
      <c r="H722" s="17">
        <v>43621</v>
      </c>
      <c r="I722" s="18">
        <v>2000000</v>
      </c>
      <c r="J722" s="19">
        <v>0.06</v>
      </c>
      <c r="K722" s="16" t="s">
        <v>4147</v>
      </c>
      <c r="L722" s="16" t="s">
        <v>4645</v>
      </c>
      <c r="M722" s="16" t="s">
        <v>5717</v>
      </c>
      <c r="N722" s="16" t="s">
        <v>6138</v>
      </c>
    </row>
    <row r="723" spans="1:14" ht="20.100000000000001" customHeight="1" x14ac:dyDescent="0.25">
      <c r="A723" s="15" t="s">
        <v>6136</v>
      </c>
      <c r="B723" s="16" t="s">
        <v>49</v>
      </c>
      <c r="C723" s="15">
        <v>7303604</v>
      </c>
      <c r="D723" s="16" t="s">
        <v>4746</v>
      </c>
      <c r="E723" s="15" t="s">
        <v>6156</v>
      </c>
      <c r="F723" s="21" t="str">
        <f>HYPERLINK("https://psearch.kitsapgov.com/webappa/index.html?parcelID=2637296&amp;Theme=Imagery","2637296")</f>
        <v>2637296</v>
      </c>
      <c r="G723" s="16" t="s">
        <v>107</v>
      </c>
      <c r="H723" s="17">
        <v>43621</v>
      </c>
      <c r="I723" s="18">
        <v>2000000</v>
      </c>
      <c r="J723" s="19">
        <v>0.02</v>
      </c>
      <c r="K723" s="16" t="s">
        <v>4147</v>
      </c>
      <c r="L723" s="16" t="s">
        <v>4645</v>
      </c>
      <c r="M723" s="16" t="s">
        <v>5717</v>
      </c>
      <c r="N723" s="16" t="s">
        <v>6138</v>
      </c>
    </row>
    <row r="724" spans="1:14" ht="20.100000000000001" customHeight="1" x14ac:dyDescent="0.25">
      <c r="A724" s="15" t="s">
        <v>6136</v>
      </c>
      <c r="B724" s="16" t="s">
        <v>49</v>
      </c>
      <c r="C724" s="15">
        <v>7303604</v>
      </c>
      <c r="D724" s="16" t="s">
        <v>4746</v>
      </c>
      <c r="E724" s="15" t="s">
        <v>6157</v>
      </c>
      <c r="F724" s="21" t="str">
        <f>HYPERLINK("https://psearch.kitsapgov.com/webappa/index.html?parcelID=2637304&amp;Theme=Imagery","2637304")</f>
        <v>2637304</v>
      </c>
      <c r="G724" s="16" t="s">
        <v>107</v>
      </c>
      <c r="H724" s="17">
        <v>43621</v>
      </c>
      <c r="I724" s="18">
        <v>2000000</v>
      </c>
      <c r="J724" s="19">
        <v>0.02</v>
      </c>
      <c r="K724" s="16" t="s">
        <v>4147</v>
      </c>
      <c r="L724" s="16" t="s">
        <v>4645</v>
      </c>
      <c r="M724" s="16" t="s">
        <v>5717</v>
      </c>
      <c r="N724" s="16" t="s">
        <v>6138</v>
      </c>
    </row>
    <row r="725" spans="1:14" ht="20.100000000000001" customHeight="1" x14ac:dyDescent="0.25">
      <c r="A725" s="15" t="s">
        <v>6136</v>
      </c>
      <c r="B725" s="16" t="s">
        <v>49</v>
      </c>
      <c r="C725" s="15">
        <v>7303604</v>
      </c>
      <c r="D725" s="16" t="s">
        <v>4746</v>
      </c>
      <c r="E725" s="15" t="s">
        <v>6158</v>
      </c>
      <c r="F725" s="21" t="str">
        <f>HYPERLINK("https://psearch.kitsapgov.com/webappa/index.html?parcelID=2637312&amp;Theme=Imagery","2637312")</f>
        <v>2637312</v>
      </c>
      <c r="G725" s="16" t="s">
        <v>107</v>
      </c>
      <c r="H725" s="17">
        <v>43621</v>
      </c>
      <c r="I725" s="18">
        <v>2000000</v>
      </c>
      <c r="J725" s="19">
        <v>0.02</v>
      </c>
      <c r="K725" s="16" t="s">
        <v>4147</v>
      </c>
      <c r="L725" s="16" t="s">
        <v>4645</v>
      </c>
      <c r="M725" s="16" t="s">
        <v>5717</v>
      </c>
      <c r="N725" s="16" t="s">
        <v>6138</v>
      </c>
    </row>
    <row r="726" spans="1:14" ht="20.100000000000001" customHeight="1" x14ac:dyDescent="0.25">
      <c r="A726" s="15" t="s">
        <v>6136</v>
      </c>
      <c r="B726" s="16" t="s">
        <v>49</v>
      </c>
      <c r="C726" s="15">
        <v>7303604</v>
      </c>
      <c r="D726" s="16" t="s">
        <v>4746</v>
      </c>
      <c r="E726" s="15" t="s">
        <v>6159</v>
      </c>
      <c r="F726" s="21" t="str">
        <f>HYPERLINK("https://psearch.kitsapgov.com/webappa/index.html?parcelID=2637320&amp;Theme=Imagery","2637320")</f>
        <v>2637320</v>
      </c>
      <c r="G726" s="16" t="s">
        <v>107</v>
      </c>
      <c r="H726" s="17">
        <v>43621</v>
      </c>
      <c r="I726" s="18">
        <v>2000000</v>
      </c>
      <c r="J726" s="19">
        <v>0.02</v>
      </c>
      <c r="K726" s="16" t="s">
        <v>4147</v>
      </c>
      <c r="L726" s="16" t="s">
        <v>4645</v>
      </c>
      <c r="M726" s="16" t="s">
        <v>5717</v>
      </c>
      <c r="N726" s="16" t="s">
        <v>6138</v>
      </c>
    </row>
    <row r="727" spans="1:14" ht="20.100000000000001" customHeight="1" x14ac:dyDescent="0.25">
      <c r="A727" s="15" t="s">
        <v>6136</v>
      </c>
      <c r="B727" s="16" t="s">
        <v>49</v>
      </c>
      <c r="C727" s="15">
        <v>7303604</v>
      </c>
      <c r="D727" s="16" t="s">
        <v>4746</v>
      </c>
      <c r="E727" s="15" t="s">
        <v>6160</v>
      </c>
      <c r="F727" s="21" t="str">
        <f>HYPERLINK("https://psearch.kitsapgov.com/webappa/index.html?parcelID=2637338&amp;Theme=Imagery","2637338")</f>
        <v>2637338</v>
      </c>
      <c r="G727" s="16" t="s">
        <v>107</v>
      </c>
      <c r="H727" s="17">
        <v>43621</v>
      </c>
      <c r="I727" s="18">
        <v>2000000</v>
      </c>
      <c r="J727" s="19">
        <v>0.02</v>
      </c>
      <c r="L727" s="16" t="s">
        <v>4645</v>
      </c>
      <c r="M727" s="16" t="s">
        <v>5717</v>
      </c>
      <c r="N727" s="16" t="s">
        <v>6138</v>
      </c>
    </row>
    <row r="728" spans="1:14" ht="20.100000000000001" customHeight="1" x14ac:dyDescent="0.25">
      <c r="A728" s="15" t="s">
        <v>6136</v>
      </c>
      <c r="B728" s="16" t="s">
        <v>49</v>
      </c>
      <c r="C728" s="15">
        <v>7303604</v>
      </c>
      <c r="D728" s="16" t="s">
        <v>4746</v>
      </c>
      <c r="E728" s="15" t="s">
        <v>6161</v>
      </c>
      <c r="F728" s="21" t="str">
        <f>HYPERLINK("https://psearch.kitsapgov.com/webappa/index.html?parcelID=2637346&amp;Theme=Imagery","2637346")</f>
        <v>2637346</v>
      </c>
      <c r="G728" s="16" t="s">
        <v>107</v>
      </c>
      <c r="H728" s="17">
        <v>43621</v>
      </c>
      <c r="I728" s="18">
        <v>2000000</v>
      </c>
      <c r="J728" s="19">
        <v>0.02</v>
      </c>
      <c r="K728" s="16" t="s">
        <v>4147</v>
      </c>
      <c r="L728" s="16" t="s">
        <v>4645</v>
      </c>
      <c r="M728" s="16" t="s">
        <v>5717</v>
      </c>
      <c r="N728" s="16" t="s">
        <v>6138</v>
      </c>
    </row>
    <row r="729" spans="1:14" ht="20.100000000000001" customHeight="1" x14ac:dyDescent="0.25">
      <c r="A729" s="15" t="s">
        <v>6136</v>
      </c>
      <c r="B729" s="16" t="s">
        <v>49</v>
      </c>
      <c r="C729" s="15">
        <v>7303604</v>
      </c>
      <c r="D729" s="16" t="s">
        <v>4746</v>
      </c>
      <c r="E729" s="15" t="s">
        <v>6162</v>
      </c>
      <c r="F729" s="21" t="str">
        <f>HYPERLINK("https://psearch.kitsapgov.com/webappa/index.html?parcelID=2637353&amp;Theme=Imagery","2637353")</f>
        <v>2637353</v>
      </c>
      <c r="G729" s="16" t="s">
        <v>107</v>
      </c>
      <c r="H729" s="17">
        <v>43621</v>
      </c>
      <c r="I729" s="18">
        <v>2000000</v>
      </c>
      <c r="J729" s="19">
        <v>0.02</v>
      </c>
      <c r="K729" s="16" t="s">
        <v>4147</v>
      </c>
      <c r="L729" s="16" t="s">
        <v>4645</v>
      </c>
      <c r="M729" s="16" t="s">
        <v>5717</v>
      </c>
      <c r="N729" s="16" t="s">
        <v>6138</v>
      </c>
    </row>
    <row r="730" spans="1:14" ht="20.100000000000001" customHeight="1" x14ac:dyDescent="0.25">
      <c r="A730" s="15" t="s">
        <v>6136</v>
      </c>
      <c r="B730" s="16" t="s">
        <v>393</v>
      </c>
      <c r="C730" s="15">
        <v>8303601</v>
      </c>
      <c r="D730" s="16" t="s">
        <v>50</v>
      </c>
      <c r="E730" s="15" t="s">
        <v>6163</v>
      </c>
      <c r="F730" s="21" t="str">
        <f>HYPERLINK("https://psearch.kitsapgov.com/webappa/index.html?parcelID=2637361&amp;Theme=Imagery","2637361")</f>
        <v>2637361</v>
      </c>
      <c r="G730" s="16" t="s">
        <v>6164</v>
      </c>
      <c r="H730" s="17">
        <v>43621</v>
      </c>
      <c r="I730" s="18">
        <v>2000000</v>
      </c>
      <c r="J730" s="19">
        <v>1.4</v>
      </c>
      <c r="K730" s="16" t="s">
        <v>4147</v>
      </c>
      <c r="L730" s="16" t="s">
        <v>4645</v>
      </c>
      <c r="M730" s="16" t="s">
        <v>5717</v>
      </c>
      <c r="N730" s="16" t="s">
        <v>6138</v>
      </c>
    </row>
    <row r="731" spans="1:14" ht="20.100000000000001" customHeight="1" x14ac:dyDescent="0.25">
      <c r="A731" s="15" t="s">
        <v>6136</v>
      </c>
      <c r="B731" s="16" t="s">
        <v>6165</v>
      </c>
      <c r="C731" s="15">
        <v>96</v>
      </c>
      <c r="D731" s="16" t="s">
        <v>4859</v>
      </c>
      <c r="E731" s="15" t="s">
        <v>6166</v>
      </c>
      <c r="F731" s="21" t="str">
        <f>HYPERLINK("https://psearch.kitsapgov.com/webappa/index.html?parcelID=2637379&amp;Theme=Imagery","2637379")</f>
        <v>2637379</v>
      </c>
      <c r="G731" s="16" t="s">
        <v>6167</v>
      </c>
      <c r="H731" s="17">
        <v>43621</v>
      </c>
      <c r="I731" s="18">
        <v>2000000</v>
      </c>
      <c r="J731" s="19">
        <v>0.91</v>
      </c>
      <c r="K731" s="16" t="s">
        <v>4147</v>
      </c>
      <c r="L731" s="16" t="s">
        <v>4645</v>
      </c>
      <c r="M731" s="16" t="s">
        <v>5717</v>
      </c>
      <c r="N731" s="16" t="s">
        <v>6138</v>
      </c>
    </row>
    <row r="732" spans="1:14" ht="20.100000000000001" customHeight="1" x14ac:dyDescent="0.25">
      <c r="A732" s="15" t="s">
        <v>6136</v>
      </c>
      <c r="B732" s="16" t="s">
        <v>4739</v>
      </c>
      <c r="C732" s="15">
        <v>7303604</v>
      </c>
      <c r="D732" s="16" t="s">
        <v>4746</v>
      </c>
      <c r="E732" s="15" t="s">
        <v>6168</v>
      </c>
      <c r="F732" s="21" t="str">
        <f>HYPERLINK("https://psearch.kitsapgov.com/webappa/index.html?parcelID=2637387&amp;Theme=Imagery","2637387")</f>
        <v>2637387</v>
      </c>
      <c r="G732" s="16" t="s">
        <v>107</v>
      </c>
      <c r="H732" s="17">
        <v>43621</v>
      </c>
      <c r="I732" s="18">
        <v>2000000</v>
      </c>
      <c r="J732" s="19">
        <v>0.15</v>
      </c>
      <c r="K732" s="16" t="s">
        <v>4147</v>
      </c>
      <c r="L732" s="16" t="s">
        <v>4645</v>
      </c>
      <c r="M732" s="16" t="s">
        <v>5717</v>
      </c>
      <c r="N732" s="16" t="s">
        <v>6138</v>
      </c>
    </row>
    <row r="733" spans="1:14" ht="20.100000000000001" customHeight="1" x14ac:dyDescent="0.25">
      <c r="A733" s="15" t="s">
        <v>6136</v>
      </c>
      <c r="B733" s="16" t="s">
        <v>4739</v>
      </c>
      <c r="C733" s="15">
        <v>7303604</v>
      </c>
      <c r="D733" s="16" t="s">
        <v>4746</v>
      </c>
      <c r="E733" s="15" t="s">
        <v>6169</v>
      </c>
      <c r="F733" s="21" t="str">
        <f>HYPERLINK("https://psearch.kitsapgov.com/webappa/index.html?parcelID=2637395&amp;Theme=Imagery","2637395")</f>
        <v>2637395</v>
      </c>
      <c r="G733" s="16" t="s">
        <v>107</v>
      </c>
      <c r="H733" s="17">
        <v>43621</v>
      </c>
      <c r="I733" s="18">
        <v>2000000</v>
      </c>
      <c r="J733" s="19">
        <v>0.03</v>
      </c>
      <c r="K733" s="16" t="s">
        <v>4147</v>
      </c>
      <c r="L733" s="16" t="s">
        <v>4645</v>
      </c>
      <c r="M733" s="16" t="s">
        <v>5717</v>
      </c>
      <c r="N733" s="16" t="s">
        <v>6138</v>
      </c>
    </row>
    <row r="734" spans="1:14" ht="20.100000000000001" customHeight="1" x14ac:dyDescent="0.25">
      <c r="A734" s="15" t="s">
        <v>6136</v>
      </c>
      <c r="B734" s="16" t="s">
        <v>4739</v>
      </c>
      <c r="C734" s="15">
        <v>7303604</v>
      </c>
      <c r="D734" s="16" t="s">
        <v>4746</v>
      </c>
      <c r="E734" s="15" t="s">
        <v>6170</v>
      </c>
      <c r="F734" s="21" t="str">
        <f>HYPERLINK("https://psearch.kitsapgov.com/webappa/index.html?parcelID=2637403&amp;Theme=Imagery","2637403")</f>
        <v>2637403</v>
      </c>
      <c r="G734" s="16" t="s">
        <v>107</v>
      </c>
      <c r="H734" s="17">
        <v>43621</v>
      </c>
      <c r="I734" s="18">
        <v>2000000</v>
      </c>
      <c r="J734" s="19">
        <v>0.04</v>
      </c>
      <c r="K734" s="16" t="s">
        <v>4147</v>
      </c>
      <c r="L734" s="16" t="s">
        <v>4645</v>
      </c>
      <c r="M734" s="16" t="s">
        <v>5717</v>
      </c>
      <c r="N734" s="16" t="s">
        <v>6138</v>
      </c>
    </row>
    <row r="735" spans="1:14" ht="39.950000000000003" customHeight="1" x14ac:dyDescent="0.25">
      <c r="A735" s="15" t="s">
        <v>6171</v>
      </c>
      <c r="B735" s="16" t="s">
        <v>57</v>
      </c>
      <c r="C735" s="15">
        <v>9400203</v>
      </c>
      <c r="D735" s="16" t="s">
        <v>42</v>
      </c>
      <c r="E735" s="15" t="s">
        <v>6172</v>
      </c>
      <c r="F735" s="21" t="str">
        <f>HYPERLINK("https://psearch.kitsapgov.com/webappa/index.html?parcelID=2527562&amp;Theme=Imagery","2527562")</f>
        <v>2527562</v>
      </c>
      <c r="G735" s="16" t="s">
        <v>6173</v>
      </c>
      <c r="H735" s="17">
        <v>43636</v>
      </c>
      <c r="I735" s="18">
        <v>2835000</v>
      </c>
      <c r="J735" s="19">
        <v>0.36</v>
      </c>
      <c r="K735" s="16" t="s">
        <v>3785</v>
      </c>
      <c r="L735" s="16" t="s">
        <v>4645</v>
      </c>
      <c r="M735" s="16" t="s">
        <v>6174</v>
      </c>
      <c r="N735" s="16" t="s">
        <v>1221</v>
      </c>
    </row>
    <row r="736" spans="1:14" ht="20.100000000000001" customHeight="1" x14ac:dyDescent="0.25">
      <c r="A736" s="15" t="s">
        <v>6171</v>
      </c>
      <c r="B736" s="16" t="s">
        <v>1689</v>
      </c>
      <c r="C736" s="15">
        <v>9400203</v>
      </c>
      <c r="D736" s="16" t="s">
        <v>42</v>
      </c>
      <c r="E736" s="15" t="s">
        <v>6175</v>
      </c>
      <c r="F736" s="21" t="str">
        <f>HYPERLINK("https://psearch.kitsapgov.com/webappa/index.html?parcelID=2527570&amp;Theme=Imagery","2527570")</f>
        <v>2527570</v>
      </c>
      <c r="G736" s="16" t="s">
        <v>6176</v>
      </c>
      <c r="H736" s="17">
        <v>43636</v>
      </c>
      <c r="I736" s="18">
        <v>2835000</v>
      </c>
      <c r="J736" s="19">
        <v>1.32</v>
      </c>
      <c r="K736" s="16" t="s">
        <v>3785</v>
      </c>
      <c r="L736" s="16" t="s">
        <v>4645</v>
      </c>
      <c r="M736" s="16" t="s">
        <v>6174</v>
      </c>
      <c r="N736" s="16" t="s">
        <v>1221</v>
      </c>
    </row>
    <row r="737" spans="1:14" ht="39.950000000000003" customHeight="1" x14ac:dyDescent="0.25">
      <c r="A737" s="15" t="s">
        <v>6177</v>
      </c>
      <c r="B737" s="16" t="s">
        <v>2103</v>
      </c>
      <c r="C737" s="15">
        <v>8100502</v>
      </c>
      <c r="D737" s="16" t="s">
        <v>67</v>
      </c>
      <c r="E737" s="15" t="s">
        <v>5160</v>
      </c>
      <c r="F737" s="21" t="str">
        <f>HYPERLINK("https://psearch.kitsapgov.com/webappa/index.html?parcelID=1443415&amp;Theme=Imagery","1443415")</f>
        <v>1443415</v>
      </c>
      <c r="G737" s="16" t="s">
        <v>5161</v>
      </c>
      <c r="H737" s="17">
        <v>43649</v>
      </c>
      <c r="I737" s="18">
        <v>5900000</v>
      </c>
      <c r="J737" s="19">
        <v>3.18</v>
      </c>
      <c r="K737" s="16" t="s">
        <v>85</v>
      </c>
      <c r="L737" s="16" t="s">
        <v>20</v>
      </c>
      <c r="M737" s="16" t="s">
        <v>5163</v>
      </c>
      <c r="N737" s="16" t="s">
        <v>6178</v>
      </c>
    </row>
    <row r="738" spans="1:14" ht="20.100000000000001" customHeight="1" x14ac:dyDescent="0.25">
      <c r="A738" s="15" t="s">
        <v>6177</v>
      </c>
      <c r="B738" s="16" t="s">
        <v>2103</v>
      </c>
      <c r="C738" s="15">
        <v>8100502</v>
      </c>
      <c r="D738" s="16" t="s">
        <v>67</v>
      </c>
      <c r="E738" s="15" t="s">
        <v>5164</v>
      </c>
      <c r="F738" s="21" t="str">
        <f>HYPERLINK("https://psearch.kitsapgov.com/webappa/index.html?parcelID=1443472&amp;Theme=Imagery","1443472")</f>
        <v>1443472</v>
      </c>
      <c r="G738" s="16" t="s">
        <v>5165</v>
      </c>
      <c r="H738" s="17">
        <v>43649</v>
      </c>
      <c r="I738" s="18">
        <v>5900000</v>
      </c>
      <c r="J738" s="19">
        <v>0.96</v>
      </c>
      <c r="K738" s="16" t="s">
        <v>85</v>
      </c>
      <c r="L738" s="16" t="s">
        <v>20</v>
      </c>
      <c r="M738" s="16" t="s">
        <v>5163</v>
      </c>
      <c r="N738" s="16" t="s">
        <v>6178</v>
      </c>
    </row>
    <row r="739" spans="1:14" ht="39.950000000000003" customHeight="1" x14ac:dyDescent="0.25">
      <c r="A739" s="15" t="s">
        <v>6179</v>
      </c>
      <c r="B739" s="16" t="s">
        <v>57</v>
      </c>
      <c r="C739" s="15">
        <v>8401104</v>
      </c>
      <c r="D739" s="16" t="s">
        <v>144</v>
      </c>
      <c r="E739" s="15" t="s">
        <v>6180</v>
      </c>
      <c r="F739" s="21" t="str">
        <f>HYPERLINK("https://psearch.kitsapgov.com/webappa/index.html?parcelID=2564540&amp;Theme=Imagery","2564540")</f>
        <v>2564540</v>
      </c>
      <c r="G739" s="16" t="s">
        <v>6181</v>
      </c>
      <c r="H739" s="17">
        <v>43669</v>
      </c>
      <c r="I739" s="18">
        <v>200000</v>
      </c>
      <c r="J739" s="19">
        <v>0.16</v>
      </c>
      <c r="K739" s="16" t="s">
        <v>61</v>
      </c>
      <c r="L739" s="16" t="s">
        <v>4645</v>
      </c>
      <c r="M739" s="16" t="s">
        <v>6182</v>
      </c>
      <c r="N739" s="16" t="s">
        <v>6183</v>
      </c>
    </row>
    <row r="740" spans="1:14" ht="20.100000000000001" customHeight="1" x14ac:dyDescent="0.25">
      <c r="A740" s="15" t="s">
        <v>6179</v>
      </c>
      <c r="B740" s="16" t="s">
        <v>57</v>
      </c>
      <c r="C740" s="15">
        <v>8401104</v>
      </c>
      <c r="D740" s="16" t="s">
        <v>144</v>
      </c>
      <c r="E740" s="15" t="s">
        <v>6184</v>
      </c>
      <c r="F740" s="21" t="str">
        <f>HYPERLINK("https://psearch.kitsapgov.com/webappa/index.html?parcelID=2564557&amp;Theme=Imagery","2564557")</f>
        <v>2564557</v>
      </c>
      <c r="G740" s="16" t="s">
        <v>6185</v>
      </c>
      <c r="H740" s="17">
        <v>43669</v>
      </c>
      <c r="I740" s="18">
        <v>200000</v>
      </c>
      <c r="J740" s="19">
        <v>0.22</v>
      </c>
      <c r="K740" s="16" t="s">
        <v>61</v>
      </c>
      <c r="L740" s="16" t="s">
        <v>4645</v>
      </c>
      <c r="M740" s="16" t="s">
        <v>6182</v>
      </c>
      <c r="N740" s="16" t="s">
        <v>6183</v>
      </c>
    </row>
    <row r="741" spans="1:14" ht="39.950000000000003" customHeight="1" x14ac:dyDescent="0.25">
      <c r="A741" s="15" t="s">
        <v>6186</v>
      </c>
      <c r="B741" s="16" t="s">
        <v>57</v>
      </c>
      <c r="C741" s="15">
        <v>8402307</v>
      </c>
      <c r="D741" s="16" t="s">
        <v>151</v>
      </c>
      <c r="E741" s="15" t="s">
        <v>6187</v>
      </c>
      <c r="F741" s="21" t="str">
        <f>HYPERLINK("https://psearch.kitsapgov.com/webappa/index.html?parcelID=1513357&amp;Theme=Imagery","1513357")</f>
        <v>1513357</v>
      </c>
      <c r="G741" s="16" t="s">
        <v>6188</v>
      </c>
      <c r="H741" s="17">
        <v>43677</v>
      </c>
      <c r="I741" s="18">
        <v>710000</v>
      </c>
      <c r="J741" s="19">
        <v>0.57999999999999996</v>
      </c>
      <c r="K741" s="16" t="s">
        <v>371</v>
      </c>
      <c r="L741" s="16" t="s">
        <v>4645</v>
      </c>
      <c r="M741" s="16" t="s">
        <v>6189</v>
      </c>
      <c r="N741" s="16" t="s">
        <v>6190</v>
      </c>
    </row>
    <row r="742" spans="1:14" ht="20.100000000000001" customHeight="1" x14ac:dyDescent="0.25">
      <c r="A742" s="15" t="s">
        <v>6186</v>
      </c>
      <c r="B742" s="16" t="s">
        <v>33</v>
      </c>
      <c r="C742" s="15">
        <v>8402307</v>
      </c>
      <c r="D742" s="16" t="s">
        <v>151</v>
      </c>
      <c r="E742" s="15" t="s">
        <v>6191</v>
      </c>
      <c r="F742" s="21" t="str">
        <f>HYPERLINK("https://psearch.kitsapgov.com/webappa/index.html?parcelID=1513407&amp;Theme=Imagery","1513407")</f>
        <v>1513407</v>
      </c>
      <c r="G742" s="16" t="s">
        <v>6192</v>
      </c>
      <c r="H742" s="17">
        <v>43677</v>
      </c>
      <c r="I742" s="18">
        <v>710000</v>
      </c>
      <c r="J742" s="19">
        <v>0.53</v>
      </c>
      <c r="K742" s="16" t="s">
        <v>371</v>
      </c>
      <c r="L742" s="16" t="s">
        <v>4645</v>
      </c>
      <c r="M742" s="16" t="s">
        <v>6189</v>
      </c>
      <c r="N742" s="16" t="s">
        <v>6190</v>
      </c>
    </row>
    <row r="743" spans="1:14" ht="39.950000000000003" customHeight="1" x14ac:dyDescent="0.25">
      <c r="A743" s="15" t="s">
        <v>6193</v>
      </c>
      <c r="B743" s="16" t="s">
        <v>602</v>
      </c>
      <c r="C743" s="15">
        <v>8400203</v>
      </c>
      <c r="D743" s="16" t="s">
        <v>97</v>
      </c>
      <c r="E743" s="15" t="s">
        <v>6194</v>
      </c>
      <c r="F743" s="21" t="str">
        <f>HYPERLINK("https://psearch.kitsapgov.com/webappa/index.html?parcelID=2513091&amp;Theme=Imagery","2513091")</f>
        <v>2513091</v>
      </c>
      <c r="G743" s="16" t="s">
        <v>6195</v>
      </c>
      <c r="H743" s="17">
        <v>43676</v>
      </c>
      <c r="I743" s="18">
        <v>440000</v>
      </c>
      <c r="J743" s="19">
        <v>0</v>
      </c>
      <c r="L743" s="16" t="s">
        <v>4645</v>
      </c>
      <c r="M743" s="16" t="s">
        <v>2530</v>
      </c>
      <c r="N743" s="16" t="s">
        <v>6196</v>
      </c>
    </row>
    <row r="744" spans="1:14" ht="20.100000000000001" customHeight="1" x14ac:dyDescent="0.25">
      <c r="A744" s="15" t="s">
        <v>6193</v>
      </c>
      <c r="B744" s="16" t="s">
        <v>602</v>
      </c>
      <c r="C744" s="15">
        <v>8400203</v>
      </c>
      <c r="D744" s="16" t="s">
        <v>97</v>
      </c>
      <c r="E744" s="15" t="s">
        <v>6197</v>
      </c>
      <c r="F744" s="21" t="str">
        <f>HYPERLINK("https://psearch.kitsapgov.com/webappa/index.html?parcelID=2513109&amp;Theme=Imagery","2513109")</f>
        <v>2513109</v>
      </c>
      <c r="G744" s="16" t="s">
        <v>6195</v>
      </c>
      <c r="H744" s="17">
        <v>43676</v>
      </c>
      <c r="I744" s="18">
        <v>440000</v>
      </c>
      <c r="J744" s="19">
        <v>0</v>
      </c>
      <c r="L744" s="16" t="s">
        <v>4645</v>
      </c>
      <c r="M744" s="16" t="s">
        <v>2530</v>
      </c>
      <c r="N744" s="16" t="s">
        <v>6196</v>
      </c>
    </row>
    <row r="745" spans="1:14" ht="20.100000000000001" customHeight="1" x14ac:dyDescent="0.25">
      <c r="A745" s="15" t="s">
        <v>6193</v>
      </c>
      <c r="B745" s="16" t="s">
        <v>602</v>
      </c>
      <c r="C745" s="15">
        <v>8400203</v>
      </c>
      <c r="D745" s="16" t="s">
        <v>97</v>
      </c>
      <c r="E745" s="15" t="s">
        <v>6198</v>
      </c>
      <c r="F745" s="21" t="str">
        <f>HYPERLINK("https://psearch.kitsapgov.com/webappa/index.html?parcelID=2513117&amp;Theme=Imagery","2513117")</f>
        <v>2513117</v>
      </c>
      <c r="G745" s="16" t="s">
        <v>6195</v>
      </c>
      <c r="H745" s="17">
        <v>43676</v>
      </c>
      <c r="I745" s="18">
        <v>440000</v>
      </c>
      <c r="J745" s="19">
        <v>0</v>
      </c>
      <c r="L745" s="16" t="s">
        <v>4645</v>
      </c>
      <c r="M745" s="16" t="s">
        <v>2530</v>
      </c>
      <c r="N745" s="16" t="s">
        <v>6196</v>
      </c>
    </row>
    <row r="746" spans="1:14" ht="39.950000000000003" customHeight="1" x14ac:dyDescent="0.25">
      <c r="A746" s="15" t="s">
        <v>6199</v>
      </c>
      <c r="B746" s="16" t="s">
        <v>306</v>
      </c>
      <c r="C746" s="15">
        <v>8401104</v>
      </c>
      <c r="D746" s="16" t="s">
        <v>144</v>
      </c>
      <c r="E746" s="15" t="s">
        <v>6200</v>
      </c>
      <c r="F746" s="21" t="str">
        <f>HYPERLINK("https://psearch.kitsapgov.com/webappa/index.html?parcelID=2171023&amp;Theme=Imagery","2171023")</f>
        <v>2171023</v>
      </c>
      <c r="G746" s="16" t="s">
        <v>6201</v>
      </c>
      <c r="H746" s="17">
        <v>43670</v>
      </c>
      <c r="I746" s="18">
        <v>512149</v>
      </c>
      <c r="J746" s="19">
        <v>1.04</v>
      </c>
      <c r="K746" s="16" t="s">
        <v>61</v>
      </c>
      <c r="L746" s="16" t="s">
        <v>4645</v>
      </c>
      <c r="M746" s="16" t="s">
        <v>6202</v>
      </c>
      <c r="N746" s="16" t="s">
        <v>6203</v>
      </c>
    </row>
    <row r="747" spans="1:14" ht="20.100000000000001" customHeight="1" x14ac:dyDescent="0.25">
      <c r="A747" s="15" t="s">
        <v>6199</v>
      </c>
      <c r="B747" s="16" t="s">
        <v>306</v>
      </c>
      <c r="C747" s="15">
        <v>8401104</v>
      </c>
      <c r="D747" s="16" t="s">
        <v>144</v>
      </c>
      <c r="E747" s="15" t="s">
        <v>6204</v>
      </c>
      <c r="F747" s="21" t="str">
        <f>HYPERLINK("https://psearch.kitsapgov.com/webappa/index.html?parcelID=2171031&amp;Theme=Imagery","2171031")</f>
        <v>2171031</v>
      </c>
      <c r="G747" s="16" t="s">
        <v>6205</v>
      </c>
      <c r="H747" s="17">
        <v>43670</v>
      </c>
      <c r="I747" s="18">
        <v>512149</v>
      </c>
      <c r="J747" s="19">
        <v>0.81</v>
      </c>
      <c r="K747" s="16" t="s">
        <v>61</v>
      </c>
      <c r="L747" s="16" t="s">
        <v>4645</v>
      </c>
      <c r="M747" s="16" t="s">
        <v>6202</v>
      </c>
      <c r="N747" s="16" t="s">
        <v>6203</v>
      </c>
    </row>
    <row r="748" spans="1:14" ht="39.950000000000003" customHeight="1" x14ac:dyDescent="0.25">
      <c r="A748" s="15" t="s">
        <v>6206</v>
      </c>
      <c r="B748" s="16" t="s">
        <v>306</v>
      </c>
      <c r="C748" s="15">
        <v>8100504</v>
      </c>
      <c r="D748" s="16" t="s">
        <v>58</v>
      </c>
      <c r="E748" s="15" t="s">
        <v>4903</v>
      </c>
      <c r="F748" s="21" t="str">
        <f>HYPERLINK("https://psearch.kitsapgov.com/webappa/index.html?parcelID=1160712&amp;Theme=Imagery","1160712")</f>
        <v>1160712</v>
      </c>
      <c r="G748" s="16" t="s">
        <v>4904</v>
      </c>
      <c r="H748" s="17">
        <v>43679</v>
      </c>
      <c r="I748" s="18">
        <v>389141</v>
      </c>
      <c r="J748" s="19">
        <v>0.47</v>
      </c>
      <c r="K748" s="16" t="s">
        <v>78</v>
      </c>
      <c r="L748" s="16" t="s">
        <v>246</v>
      </c>
      <c r="M748" s="16" t="s">
        <v>2526</v>
      </c>
      <c r="N748" s="16" t="s">
        <v>4906</v>
      </c>
    </row>
    <row r="749" spans="1:14" ht="20.100000000000001" customHeight="1" x14ac:dyDescent="0.25">
      <c r="A749" s="15" t="s">
        <v>6206</v>
      </c>
      <c r="B749" s="16" t="s">
        <v>57</v>
      </c>
      <c r="C749" s="15">
        <v>8100504</v>
      </c>
      <c r="D749" s="16" t="s">
        <v>58</v>
      </c>
      <c r="E749" s="15" t="s">
        <v>4907</v>
      </c>
      <c r="F749" s="21" t="str">
        <f>HYPERLINK("https://psearch.kitsapgov.com/webappa/index.html?parcelID=1160746&amp;Theme=Imagery","1160746")</f>
        <v>1160746</v>
      </c>
      <c r="G749" s="16" t="s">
        <v>4908</v>
      </c>
      <c r="H749" s="17">
        <v>43679</v>
      </c>
      <c r="I749" s="18">
        <v>389141</v>
      </c>
      <c r="J749" s="19">
        <v>0.34</v>
      </c>
      <c r="K749" s="16" t="s">
        <v>78</v>
      </c>
      <c r="L749" s="16" t="s">
        <v>246</v>
      </c>
      <c r="M749" s="16" t="s">
        <v>2526</v>
      </c>
      <c r="N749" s="16" t="s">
        <v>4906</v>
      </c>
    </row>
    <row r="750" spans="1:14" ht="20.100000000000001" customHeight="1" x14ac:dyDescent="0.25">
      <c r="A750" s="15" t="s">
        <v>6206</v>
      </c>
      <c r="B750" s="16" t="s">
        <v>57</v>
      </c>
      <c r="C750" s="15">
        <v>7100591</v>
      </c>
      <c r="D750" s="16" t="s">
        <v>4909</v>
      </c>
      <c r="E750" s="15" t="s">
        <v>4910</v>
      </c>
      <c r="F750" s="21" t="str">
        <f>HYPERLINK("https://psearch.kitsapgov.com/webappa/index.html?parcelID=1716943&amp;Theme=Imagery","1716943")</f>
        <v>1716943</v>
      </c>
      <c r="G750" s="16" t="s">
        <v>107</v>
      </c>
      <c r="H750" s="17">
        <v>43679</v>
      </c>
      <c r="I750" s="18">
        <v>389141</v>
      </c>
      <c r="J750" s="19">
        <v>7.0000000000000007E-2</v>
      </c>
      <c r="K750" s="16" t="s">
        <v>108</v>
      </c>
      <c r="L750" s="16" t="s">
        <v>246</v>
      </c>
      <c r="M750" s="16" t="s">
        <v>2526</v>
      </c>
      <c r="N750" s="16" t="s">
        <v>4906</v>
      </c>
    </row>
    <row r="751" spans="1:14" ht="20.100000000000001" customHeight="1" x14ac:dyDescent="0.25">
      <c r="A751" s="15" t="s">
        <v>6206</v>
      </c>
      <c r="B751" s="16" t="s">
        <v>57</v>
      </c>
      <c r="C751" s="15">
        <v>7100591</v>
      </c>
      <c r="D751" s="16" t="s">
        <v>4909</v>
      </c>
      <c r="E751" s="15" t="s">
        <v>4911</v>
      </c>
      <c r="F751" s="21" t="str">
        <f>HYPERLINK("https://psearch.kitsapgov.com/webappa/index.html?parcelID=1716950&amp;Theme=Imagery","1716950")</f>
        <v>1716950</v>
      </c>
      <c r="G751" s="16" t="s">
        <v>107</v>
      </c>
      <c r="H751" s="17">
        <v>43679</v>
      </c>
      <c r="I751" s="18">
        <v>389141</v>
      </c>
      <c r="J751" s="19">
        <v>0.28999999999999998</v>
      </c>
      <c r="K751" s="16" t="s">
        <v>108</v>
      </c>
      <c r="L751" s="16" t="s">
        <v>246</v>
      </c>
      <c r="M751" s="16" t="s">
        <v>2526</v>
      </c>
      <c r="N751" s="16" t="s">
        <v>4906</v>
      </c>
    </row>
    <row r="752" spans="1:14" ht="20.100000000000001" customHeight="1" x14ac:dyDescent="0.25">
      <c r="A752" s="15" t="s">
        <v>6206</v>
      </c>
      <c r="B752" s="16" t="s">
        <v>57</v>
      </c>
      <c r="C752" s="15">
        <v>7100591</v>
      </c>
      <c r="D752" s="16" t="s">
        <v>4909</v>
      </c>
      <c r="E752" s="15" t="s">
        <v>4912</v>
      </c>
      <c r="F752" s="21" t="str">
        <f>HYPERLINK("https://psearch.kitsapgov.com/webappa/index.html?parcelID=1718048&amp;Theme=Imagery","1718048")</f>
        <v>1718048</v>
      </c>
      <c r="G752" s="16" t="s">
        <v>107</v>
      </c>
      <c r="H752" s="17">
        <v>43679</v>
      </c>
      <c r="I752" s="18">
        <v>389141</v>
      </c>
      <c r="J752" s="19">
        <v>0.4</v>
      </c>
      <c r="K752" s="16" t="s">
        <v>108</v>
      </c>
      <c r="L752" s="16" t="s">
        <v>246</v>
      </c>
      <c r="M752" s="16" t="s">
        <v>2526</v>
      </c>
      <c r="N752" s="16" t="s">
        <v>4906</v>
      </c>
    </row>
    <row r="753" spans="1:14" ht="20.100000000000001" customHeight="1" x14ac:dyDescent="0.25">
      <c r="A753" s="15" t="s">
        <v>6206</v>
      </c>
      <c r="B753" s="16" t="s">
        <v>57</v>
      </c>
      <c r="C753" s="15">
        <v>7100591</v>
      </c>
      <c r="D753" s="16" t="s">
        <v>4909</v>
      </c>
      <c r="E753" s="15" t="s">
        <v>4913</v>
      </c>
      <c r="F753" s="21" t="str">
        <f>HYPERLINK("https://psearch.kitsapgov.com/webappa/index.html?parcelID=1718642&amp;Theme=Imagery","1718642")</f>
        <v>1718642</v>
      </c>
      <c r="G753" s="16" t="s">
        <v>107</v>
      </c>
      <c r="H753" s="17">
        <v>43679</v>
      </c>
      <c r="I753" s="18">
        <v>389141</v>
      </c>
      <c r="J753" s="19">
        <v>0.12</v>
      </c>
      <c r="K753" s="16" t="s">
        <v>108</v>
      </c>
      <c r="L753" s="16" t="s">
        <v>246</v>
      </c>
      <c r="M753" s="16" t="s">
        <v>2526</v>
      </c>
      <c r="N753" s="16" t="s">
        <v>4906</v>
      </c>
    </row>
    <row r="754" spans="1:14" ht="20.100000000000001" customHeight="1" x14ac:dyDescent="0.25">
      <c r="A754" s="15" t="s">
        <v>6206</v>
      </c>
      <c r="B754" s="16" t="s">
        <v>57</v>
      </c>
      <c r="C754" s="15">
        <v>7100591</v>
      </c>
      <c r="D754" s="16" t="s">
        <v>4909</v>
      </c>
      <c r="E754" s="15" t="s">
        <v>4914</v>
      </c>
      <c r="F754" s="21" t="str">
        <f>HYPERLINK("https://psearch.kitsapgov.com/webappa/index.html?parcelID=1718659&amp;Theme=Imagery","1718659")</f>
        <v>1718659</v>
      </c>
      <c r="G754" s="16" t="s">
        <v>107</v>
      </c>
      <c r="H754" s="17">
        <v>43679</v>
      </c>
      <c r="I754" s="18">
        <v>389141</v>
      </c>
      <c r="J754" s="19">
        <v>0.15</v>
      </c>
      <c r="K754" s="16" t="s">
        <v>108</v>
      </c>
      <c r="L754" s="16" t="s">
        <v>246</v>
      </c>
      <c r="M754" s="16" t="s">
        <v>2526</v>
      </c>
      <c r="N754" s="16" t="s">
        <v>4906</v>
      </c>
    </row>
    <row r="755" spans="1:14" ht="20.100000000000001" customHeight="1" x14ac:dyDescent="0.25">
      <c r="A755" s="15" t="s">
        <v>6206</v>
      </c>
      <c r="B755" s="16" t="s">
        <v>57</v>
      </c>
      <c r="C755" s="15">
        <v>7100591</v>
      </c>
      <c r="D755" s="16" t="s">
        <v>4909</v>
      </c>
      <c r="E755" s="15" t="s">
        <v>4915</v>
      </c>
      <c r="F755" s="21" t="str">
        <f>HYPERLINK("https://psearch.kitsapgov.com/webappa/index.html?parcelID=1718667&amp;Theme=Imagery","1718667")</f>
        <v>1718667</v>
      </c>
      <c r="G755" s="16" t="s">
        <v>107</v>
      </c>
      <c r="H755" s="17">
        <v>43679</v>
      </c>
      <c r="I755" s="18">
        <v>389141</v>
      </c>
      <c r="J755" s="19">
        <v>0.16</v>
      </c>
      <c r="K755" s="16" t="s">
        <v>108</v>
      </c>
      <c r="L755" s="16" t="s">
        <v>246</v>
      </c>
      <c r="M755" s="16" t="s">
        <v>2526</v>
      </c>
      <c r="N755" s="16" t="s">
        <v>4906</v>
      </c>
    </row>
    <row r="756" spans="1:14" ht="39.950000000000003" customHeight="1" x14ac:dyDescent="0.25">
      <c r="A756" s="15" t="s">
        <v>6207</v>
      </c>
      <c r="B756" s="16" t="s">
        <v>330</v>
      </c>
      <c r="C756" s="15">
        <v>8100504</v>
      </c>
      <c r="D756" s="16" t="s">
        <v>58</v>
      </c>
      <c r="E756" s="15" t="s">
        <v>4917</v>
      </c>
      <c r="F756" s="21" t="str">
        <f>HYPERLINK("https://psearch.kitsapgov.com/webappa/index.html?parcelID=1160688&amp;Theme=Imagery","1160688")</f>
        <v>1160688</v>
      </c>
      <c r="G756" s="16" t="s">
        <v>4918</v>
      </c>
      <c r="H756" s="17">
        <v>43679</v>
      </c>
      <c r="I756" s="18">
        <v>437763</v>
      </c>
      <c r="J756" s="19">
        <v>0.03</v>
      </c>
      <c r="K756" s="16" t="s">
        <v>78</v>
      </c>
      <c r="L756" s="16" t="s">
        <v>246</v>
      </c>
      <c r="M756" s="16" t="s">
        <v>2526</v>
      </c>
      <c r="N756" s="16" t="s">
        <v>4906</v>
      </c>
    </row>
    <row r="757" spans="1:14" ht="20.100000000000001" customHeight="1" x14ac:dyDescent="0.25">
      <c r="A757" s="15" t="s">
        <v>6207</v>
      </c>
      <c r="B757" s="16" t="s">
        <v>330</v>
      </c>
      <c r="C757" s="15">
        <v>8100504</v>
      </c>
      <c r="D757" s="16" t="s">
        <v>58</v>
      </c>
      <c r="E757" s="15" t="s">
        <v>4919</v>
      </c>
      <c r="F757" s="21" t="str">
        <f>HYPERLINK("https://psearch.kitsapgov.com/webappa/index.html?parcelID=1160696&amp;Theme=Imagery","1160696")</f>
        <v>1160696</v>
      </c>
      <c r="G757" s="16" t="s">
        <v>4920</v>
      </c>
      <c r="H757" s="17">
        <v>43679</v>
      </c>
      <c r="I757" s="18">
        <v>437763</v>
      </c>
      <c r="J757" s="19">
        <v>7.0000000000000007E-2</v>
      </c>
      <c r="K757" s="16" t="s">
        <v>78</v>
      </c>
      <c r="L757" s="16" t="s">
        <v>246</v>
      </c>
      <c r="M757" s="16" t="s">
        <v>2526</v>
      </c>
      <c r="N757" s="16" t="s">
        <v>4906</v>
      </c>
    </row>
    <row r="758" spans="1:14" ht="20.100000000000001" customHeight="1" x14ac:dyDescent="0.25">
      <c r="A758" s="15" t="s">
        <v>6207</v>
      </c>
      <c r="B758" s="16" t="s">
        <v>330</v>
      </c>
      <c r="C758" s="15">
        <v>8100504</v>
      </c>
      <c r="D758" s="16" t="s">
        <v>58</v>
      </c>
      <c r="E758" s="15" t="s">
        <v>4921</v>
      </c>
      <c r="F758" s="21" t="str">
        <f>HYPERLINK("https://psearch.kitsapgov.com/webappa/index.html?parcelID=1160704&amp;Theme=Imagery","1160704")</f>
        <v>1160704</v>
      </c>
      <c r="G758" s="16" t="s">
        <v>4920</v>
      </c>
      <c r="H758" s="17">
        <v>43679</v>
      </c>
      <c r="I758" s="18">
        <v>437763</v>
      </c>
      <c r="J758" s="19">
        <v>0.01</v>
      </c>
      <c r="K758" s="16" t="s">
        <v>78</v>
      </c>
      <c r="L758" s="16" t="s">
        <v>246</v>
      </c>
      <c r="M758" s="16" t="s">
        <v>2526</v>
      </c>
      <c r="N758" s="16" t="s">
        <v>4906</v>
      </c>
    </row>
    <row r="759" spans="1:14" ht="20.100000000000001" customHeight="1" x14ac:dyDescent="0.25">
      <c r="A759" s="15" t="s">
        <v>6207</v>
      </c>
      <c r="B759" s="16" t="s">
        <v>96</v>
      </c>
      <c r="C759" s="15">
        <v>8100504</v>
      </c>
      <c r="D759" s="16" t="s">
        <v>58</v>
      </c>
      <c r="E759" s="15" t="s">
        <v>4922</v>
      </c>
      <c r="F759" s="21" t="str">
        <f>HYPERLINK("https://psearch.kitsapgov.com/webappa/index.html?parcelID=1160720&amp;Theme=Imagery","1160720")</f>
        <v>1160720</v>
      </c>
      <c r="G759" s="16" t="s">
        <v>4923</v>
      </c>
      <c r="H759" s="17">
        <v>43679</v>
      </c>
      <c r="I759" s="18">
        <v>437763</v>
      </c>
      <c r="J759" s="19">
        <v>0.25</v>
      </c>
      <c r="K759" s="16" t="s">
        <v>78</v>
      </c>
      <c r="L759" s="16" t="s">
        <v>246</v>
      </c>
      <c r="M759" s="16" t="s">
        <v>2526</v>
      </c>
      <c r="N759" s="16" t="s">
        <v>4906</v>
      </c>
    </row>
    <row r="760" spans="1:14" ht="20.100000000000001" customHeight="1" x14ac:dyDescent="0.25">
      <c r="A760" s="15" t="s">
        <v>6207</v>
      </c>
      <c r="B760" s="16" t="s">
        <v>330</v>
      </c>
      <c r="C760" s="15">
        <v>8100504</v>
      </c>
      <c r="D760" s="16" t="s">
        <v>58</v>
      </c>
      <c r="E760" s="15" t="s">
        <v>4924</v>
      </c>
      <c r="F760" s="21" t="str">
        <f>HYPERLINK("https://psearch.kitsapgov.com/webappa/index.html?parcelID=1160753&amp;Theme=Imagery","1160753")</f>
        <v>1160753</v>
      </c>
      <c r="G760" s="16" t="s">
        <v>4925</v>
      </c>
      <c r="H760" s="17">
        <v>43679</v>
      </c>
      <c r="I760" s="18">
        <v>437763</v>
      </c>
      <c r="J760" s="19">
        <v>0.19</v>
      </c>
      <c r="K760" s="16" t="s">
        <v>78</v>
      </c>
      <c r="L760" s="16" t="s">
        <v>246</v>
      </c>
      <c r="M760" s="16" t="s">
        <v>2526</v>
      </c>
      <c r="N760" s="16" t="s">
        <v>4906</v>
      </c>
    </row>
    <row r="761" spans="1:14" ht="20.100000000000001" customHeight="1" x14ac:dyDescent="0.25">
      <c r="A761" s="15" t="s">
        <v>6207</v>
      </c>
      <c r="B761" s="16" t="s">
        <v>330</v>
      </c>
      <c r="C761" s="15">
        <v>8100504</v>
      </c>
      <c r="D761" s="16" t="s">
        <v>58</v>
      </c>
      <c r="E761" s="15" t="s">
        <v>4926</v>
      </c>
      <c r="F761" s="21" t="str">
        <f>HYPERLINK("https://psearch.kitsapgov.com/webappa/index.html?parcelID=1718675&amp;Theme=Imagery","1718675")</f>
        <v>1718675</v>
      </c>
      <c r="G761" s="16" t="s">
        <v>4918</v>
      </c>
      <c r="H761" s="17">
        <v>43679</v>
      </c>
      <c r="I761" s="18">
        <v>437763</v>
      </c>
      <c r="J761" s="19">
        <v>0.08</v>
      </c>
      <c r="K761" s="16" t="s">
        <v>78</v>
      </c>
      <c r="L761" s="16" t="s">
        <v>246</v>
      </c>
      <c r="M761" s="16" t="s">
        <v>2526</v>
      </c>
      <c r="N761" s="16" t="s">
        <v>4906</v>
      </c>
    </row>
    <row r="762" spans="1:14" ht="39.950000000000003" customHeight="1" x14ac:dyDescent="0.25">
      <c r="A762" s="15" t="s">
        <v>6208</v>
      </c>
      <c r="B762" s="16" t="s">
        <v>330</v>
      </c>
      <c r="C762" s="15">
        <v>8100501</v>
      </c>
      <c r="D762" s="16" t="s">
        <v>117</v>
      </c>
      <c r="E762" s="15" t="s">
        <v>6209</v>
      </c>
      <c r="F762" s="21" t="str">
        <f>HYPERLINK("https://psearch.kitsapgov.com/webappa/index.html?parcelID=1427905&amp;Theme=Imagery","1427905")</f>
        <v>1427905</v>
      </c>
      <c r="G762" s="16" t="s">
        <v>6210</v>
      </c>
      <c r="H762" s="17">
        <v>43707</v>
      </c>
      <c r="I762" s="18">
        <v>2525000</v>
      </c>
      <c r="J762" s="19">
        <v>0.14000000000000001</v>
      </c>
      <c r="K762" s="16" t="s">
        <v>120</v>
      </c>
      <c r="L762" s="16" t="s">
        <v>4645</v>
      </c>
      <c r="M762" s="16" t="s">
        <v>6211</v>
      </c>
      <c r="N762" s="16" t="s">
        <v>6212</v>
      </c>
    </row>
    <row r="763" spans="1:14" ht="20.100000000000001" customHeight="1" x14ac:dyDescent="0.25">
      <c r="A763" s="15" t="s">
        <v>6208</v>
      </c>
      <c r="B763" s="16" t="s">
        <v>96</v>
      </c>
      <c r="C763" s="15">
        <v>8100501</v>
      </c>
      <c r="D763" s="16" t="s">
        <v>117</v>
      </c>
      <c r="E763" s="15" t="s">
        <v>6213</v>
      </c>
      <c r="F763" s="21" t="str">
        <f>HYPERLINK("https://psearch.kitsapgov.com/webappa/index.html?parcelID=1428077&amp;Theme=Imagery","1428077")</f>
        <v>1428077</v>
      </c>
      <c r="G763" s="16" t="s">
        <v>6214</v>
      </c>
      <c r="H763" s="17">
        <v>43707</v>
      </c>
      <c r="I763" s="18">
        <v>2525000</v>
      </c>
      <c r="J763" s="19">
        <v>1.03</v>
      </c>
      <c r="K763" s="16" t="s">
        <v>2887</v>
      </c>
      <c r="L763" s="16" t="s">
        <v>4645</v>
      </c>
      <c r="M763" s="16" t="s">
        <v>6211</v>
      </c>
      <c r="N763" s="16" t="s">
        <v>6212</v>
      </c>
    </row>
    <row r="764" spans="1:14" ht="20.100000000000001" customHeight="1" x14ac:dyDescent="0.25">
      <c r="A764" s="15" t="s">
        <v>6208</v>
      </c>
      <c r="B764" s="16" t="s">
        <v>330</v>
      </c>
      <c r="C764" s="15">
        <v>8100501</v>
      </c>
      <c r="D764" s="16" t="s">
        <v>117</v>
      </c>
      <c r="E764" s="15" t="s">
        <v>6215</v>
      </c>
      <c r="F764" s="21" t="str">
        <f>HYPERLINK("https://psearch.kitsapgov.com/webappa/index.html?parcelID=1428085&amp;Theme=Imagery","1428085")</f>
        <v>1428085</v>
      </c>
      <c r="G764" s="16" t="s">
        <v>6216</v>
      </c>
      <c r="H764" s="17">
        <v>43707</v>
      </c>
      <c r="I764" s="18">
        <v>2525000</v>
      </c>
      <c r="J764" s="19">
        <v>0.1</v>
      </c>
      <c r="K764" s="16" t="s">
        <v>2887</v>
      </c>
      <c r="L764" s="16" t="s">
        <v>4645</v>
      </c>
      <c r="M764" s="16" t="s">
        <v>6211</v>
      </c>
      <c r="N764" s="16" t="s">
        <v>6212</v>
      </c>
    </row>
    <row r="765" spans="1:14" ht="20.100000000000001" customHeight="1" x14ac:dyDescent="0.25">
      <c r="A765" s="15" t="s">
        <v>6208</v>
      </c>
      <c r="B765" s="16" t="s">
        <v>330</v>
      </c>
      <c r="C765" s="15">
        <v>8100501</v>
      </c>
      <c r="D765" s="16" t="s">
        <v>117</v>
      </c>
      <c r="E765" s="15" t="s">
        <v>6217</v>
      </c>
      <c r="F765" s="21" t="str">
        <f>HYPERLINK("https://psearch.kitsapgov.com/webappa/index.html?parcelID=1428093&amp;Theme=Imagery","1428093")</f>
        <v>1428093</v>
      </c>
      <c r="G765" s="16" t="s">
        <v>6218</v>
      </c>
      <c r="H765" s="17">
        <v>43707</v>
      </c>
      <c r="I765" s="18">
        <v>2525000</v>
      </c>
      <c r="J765" s="19">
        <v>0.2</v>
      </c>
      <c r="K765" s="16" t="s">
        <v>2887</v>
      </c>
      <c r="L765" s="16" t="s">
        <v>4645</v>
      </c>
      <c r="M765" s="16" t="s">
        <v>6211</v>
      </c>
      <c r="N765" s="16" t="s">
        <v>6212</v>
      </c>
    </row>
    <row r="766" spans="1:14" ht="20.100000000000001" customHeight="1" x14ac:dyDescent="0.25">
      <c r="A766" s="15" t="s">
        <v>6208</v>
      </c>
      <c r="B766" s="16" t="s">
        <v>330</v>
      </c>
      <c r="C766" s="15">
        <v>8100501</v>
      </c>
      <c r="D766" s="16" t="s">
        <v>117</v>
      </c>
      <c r="E766" s="15" t="s">
        <v>6219</v>
      </c>
      <c r="F766" s="21" t="str">
        <f>HYPERLINK("https://psearch.kitsapgov.com/webappa/index.html?parcelID=1428176&amp;Theme=Imagery","1428176")</f>
        <v>1428176</v>
      </c>
      <c r="G766" s="16" t="s">
        <v>6220</v>
      </c>
      <c r="H766" s="17">
        <v>43707</v>
      </c>
      <c r="I766" s="18">
        <v>2525000</v>
      </c>
      <c r="J766" s="19">
        <v>7.0000000000000007E-2</v>
      </c>
      <c r="K766" s="16" t="s">
        <v>2887</v>
      </c>
      <c r="L766" s="16" t="s">
        <v>4645</v>
      </c>
      <c r="M766" s="16" t="s">
        <v>6211</v>
      </c>
      <c r="N766" s="16" t="s">
        <v>6212</v>
      </c>
    </row>
    <row r="767" spans="1:14" ht="20.100000000000001" customHeight="1" x14ac:dyDescent="0.25">
      <c r="A767" s="15" t="s">
        <v>6208</v>
      </c>
      <c r="B767" s="16" t="s">
        <v>330</v>
      </c>
      <c r="C767" s="15">
        <v>8100501</v>
      </c>
      <c r="D767" s="16" t="s">
        <v>117</v>
      </c>
      <c r="E767" s="15" t="s">
        <v>6221</v>
      </c>
      <c r="F767" s="21" t="str">
        <f>HYPERLINK("https://psearch.kitsapgov.com/webappa/index.html?parcelID=1428184&amp;Theme=Imagery","1428184")</f>
        <v>1428184</v>
      </c>
      <c r="G767" s="16" t="s">
        <v>6222</v>
      </c>
      <c r="H767" s="17">
        <v>43707</v>
      </c>
      <c r="I767" s="18">
        <v>2525000</v>
      </c>
      <c r="J767" s="19">
        <v>0.09</v>
      </c>
      <c r="K767" s="16" t="s">
        <v>2887</v>
      </c>
      <c r="L767" s="16" t="s">
        <v>4645</v>
      </c>
      <c r="M767" s="16" t="s">
        <v>6211</v>
      </c>
      <c r="N767" s="16" t="s">
        <v>6212</v>
      </c>
    </row>
    <row r="768" spans="1:14" ht="39.950000000000003" customHeight="1" x14ac:dyDescent="0.25">
      <c r="A768" s="15" t="s">
        <v>6223</v>
      </c>
      <c r="B768" s="16" t="s">
        <v>526</v>
      </c>
      <c r="C768" s="15">
        <v>8402391</v>
      </c>
      <c r="D768" s="16" t="s">
        <v>227</v>
      </c>
      <c r="E768" s="15" t="s">
        <v>5271</v>
      </c>
      <c r="F768" s="21" t="str">
        <f>HYPERLINK("https://psearch.kitsapgov.com/webappa/index.html?parcelID=1057603&amp;Theme=Imagery","1057603")</f>
        <v>1057603</v>
      </c>
      <c r="G768" s="16" t="s">
        <v>5272</v>
      </c>
      <c r="H768" s="17">
        <v>43711</v>
      </c>
      <c r="I768" s="18">
        <v>300000</v>
      </c>
      <c r="J768" s="19">
        <v>2.41</v>
      </c>
      <c r="K768" s="16" t="s">
        <v>61</v>
      </c>
      <c r="L768" s="16" t="s">
        <v>4645</v>
      </c>
      <c r="M768" s="16" t="s">
        <v>6224</v>
      </c>
      <c r="N768" s="16" t="s">
        <v>6225</v>
      </c>
    </row>
    <row r="769" spans="1:14" ht="20.100000000000001" customHeight="1" x14ac:dyDescent="0.25">
      <c r="A769" s="15" t="s">
        <v>6223</v>
      </c>
      <c r="B769" s="16" t="s">
        <v>57</v>
      </c>
      <c r="C769" s="15">
        <v>8402391</v>
      </c>
      <c r="D769" s="16" t="s">
        <v>227</v>
      </c>
      <c r="E769" s="15" t="s">
        <v>5275</v>
      </c>
      <c r="F769" s="21" t="str">
        <f>HYPERLINK("https://psearch.kitsapgov.com/webappa/index.html?parcelID=1057645&amp;Theme=Imagery","1057645")</f>
        <v>1057645</v>
      </c>
      <c r="G769" s="16" t="s">
        <v>555</v>
      </c>
      <c r="H769" s="17">
        <v>43711</v>
      </c>
      <c r="I769" s="18">
        <v>300000</v>
      </c>
      <c r="J769" s="19">
        <v>2.41</v>
      </c>
      <c r="K769" s="16" t="s">
        <v>61</v>
      </c>
      <c r="L769" s="16" t="s">
        <v>4645</v>
      </c>
      <c r="M769" s="16" t="s">
        <v>6224</v>
      </c>
      <c r="N769" s="16" t="s">
        <v>6225</v>
      </c>
    </row>
    <row r="770" spans="1:14" ht="39.950000000000003" customHeight="1" x14ac:dyDescent="0.25">
      <c r="A770" s="15" t="s">
        <v>6226</v>
      </c>
      <c r="B770" s="16" t="s">
        <v>89</v>
      </c>
      <c r="C770" s="15">
        <v>8100506</v>
      </c>
      <c r="D770" s="16" t="s">
        <v>25</v>
      </c>
      <c r="E770" s="15" t="s">
        <v>250</v>
      </c>
      <c r="F770" s="21" t="str">
        <f>HYPERLINK("https://psearch.kitsapgov.com/webappa/index.html?parcelID=1131663&amp;Theme=Imagery","1131663")</f>
        <v>1131663</v>
      </c>
      <c r="G770" s="16" t="s">
        <v>251</v>
      </c>
      <c r="H770" s="17">
        <v>43720</v>
      </c>
      <c r="I770" s="18">
        <v>450000</v>
      </c>
      <c r="J770" s="19">
        <v>0.11</v>
      </c>
      <c r="K770" s="16" t="s">
        <v>85</v>
      </c>
      <c r="L770" s="16" t="s">
        <v>4645</v>
      </c>
      <c r="M770" s="16" t="s">
        <v>6227</v>
      </c>
      <c r="N770" s="16" t="s">
        <v>2117</v>
      </c>
    </row>
    <row r="771" spans="1:14" ht="20.100000000000001" customHeight="1" x14ac:dyDescent="0.25">
      <c r="A771" s="15" t="s">
        <v>6226</v>
      </c>
      <c r="B771" s="16" t="s">
        <v>89</v>
      </c>
      <c r="C771" s="15">
        <v>8100506</v>
      </c>
      <c r="D771" s="16" t="s">
        <v>25</v>
      </c>
      <c r="E771" s="15" t="s">
        <v>244</v>
      </c>
      <c r="F771" s="21" t="str">
        <f>HYPERLINK("https://psearch.kitsapgov.com/webappa/index.html?parcelID=1131671&amp;Theme=Imagery","1131671")</f>
        <v>1131671</v>
      </c>
      <c r="G771" s="16" t="s">
        <v>245</v>
      </c>
      <c r="H771" s="17">
        <v>43720</v>
      </c>
      <c r="I771" s="18">
        <v>450000</v>
      </c>
      <c r="J771" s="19">
        <v>0.34</v>
      </c>
      <c r="K771" s="16" t="s">
        <v>85</v>
      </c>
      <c r="L771" s="16" t="s">
        <v>4645</v>
      </c>
      <c r="M771" s="16" t="s">
        <v>6227</v>
      </c>
      <c r="N771" s="16" t="s">
        <v>2117</v>
      </c>
    </row>
    <row r="772" spans="1:14" ht="39.950000000000003" customHeight="1" x14ac:dyDescent="0.25">
      <c r="A772" s="15" t="s">
        <v>6228</v>
      </c>
      <c r="B772" s="16" t="s">
        <v>49</v>
      </c>
      <c r="C772" s="15">
        <v>8402307</v>
      </c>
      <c r="D772" s="16" t="s">
        <v>151</v>
      </c>
      <c r="E772" s="15" t="s">
        <v>6229</v>
      </c>
      <c r="F772" s="21" t="str">
        <f>HYPERLINK("https://psearch.kitsapgov.com/webappa/index.html?parcelID=1175264&amp;Theme=Imagery","1175264")</f>
        <v>1175264</v>
      </c>
      <c r="G772" s="16" t="s">
        <v>6230</v>
      </c>
      <c r="H772" s="17">
        <v>43717</v>
      </c>
      <c r="I772" s="18">
        <v>450000</v>
      </c>
      <c r="J772" s="19">
        <v>1.73</v>
      </c>
      <c r="K772" s="16" t="s">
        <v>371</v>
      </c>
      <c r="L772" s="16" t="s">
        <v>4645</v>
      </c>
      <c r="M772" s="16" t="s">
        <v>6231</v>
      </c>
      <c r="N772" s="16" t="s">
        <v>4389</v>
      </c>
    </row>
    <row r="773" spans="1:14" ht="20.100000000000001" customHeight="1" x14ac:dyDescent="0.25">
      <c r="A773" s="15" t="s">
        <v>6228</v>
      </c>
      <c r="B773" s="16" t="s">
        <v>143</v>
      </c>
      <c r="C773" s="15">
        <v>8402307</v>
      </c>
      <c r="D773" s="16" t="s">
        <v>151</v>
      </c>
      <c r="E773" s="15" t="s">
        <v>6232</v>
      </c>
      <c r="F773" s="21" t="str">
        <f>HYPERLINK("https://psearch.kitsapgov.com/webappa/index.html?parcelID=1504281&amp;Theme=Imagery","1504281")</f>
        <v>1504281</v>
      </c>
      <c r="G773" s="16" t="s">
        <v>6233</v>
      </c>
      <c r="H773" s="17">
        <v>43717</v>
      </c>
      <c r="I773" s="18">
        <v>450000</v>
      </c>
      <c r="J773" s="19">
        <v>1.84</v>
      </c>
      <c r="K773" s="16" t="s">
        <v>371</v>
      </c>
      <c r="L773" s="16" t="s">
        <v>4645</v>
      </c>
      <c r="M773" s="16" t="s">
        <v>6231</v>
      </c>
      <c r="N773" s="16" t="s">
        <v>4389</v>
      </c>
    </row>
    <row r="774" spans="1:14" ht="20.100000000000001" customHeight="1" x14ac:dyDescent="0.25">
      <c r="A774" s="15" t="s">
        <v>6228</v>
      </c>
      <c r="B774" s="16" t="s">
        <v>57</v>
      </c>
      <c r="C774" s="15">
        <v>8402307</v>
      </c>
      <c r="D774" s="16" t="s">
        <v>151</v>
      </c>
      <c r="E774" s="15" t="s">
        <v>6234</v>
      </c>
      <c r="F774" s="21" t="str">
        <f>HYPERLINK("https://psearch.kitsapgov.com/webappa/index.html?parcelID=2328060&amp;Theme=Imagery","2328060")</f>
        <v>2328060</v>
      </c>
      <c r="G774" s="16" t="s">
        <v>6235</v>
      </c>
      <c r="H774" s="17">
        <v>43717</v>
      </c>
      <c r="I774" s="18">
        <v>450000</v>
      </c>
      <c r="J774" s="19">
        <v>1.84</v>
      </c>
      <c r="K774" s="16" t="s">
        <v>371</v>
      </c>
      <c r="L774" s="16" t="s">
        <v>4645</v>
      </c>
      <c r="M774" s="16" t="s">
        <v>6231</v>
      </c>
      <c r="N774" s="16" t="s">
        <v>4389</v>
      </c>
    </row>
    <row r="775" spans="1:14" ht="39.950000000000003" customHeight="1" x14ac:dyDescent="0.25">
      <c r="A775" s="15" t="s">
        <v>6236</v>
      </c>
      <c r="B775" s="16" t="s">
        <v>330</v>
      </c>
      <c r="C775" s="15">
        <v>9100541</v>
      </c>
      <c r="D775" s="16" t="s">
        <v>215</v>
      </c>
      <c r="E775" s="15" t="s">
        <v>6237</v>
      </c>
      <c r="F775" s="21" t="str">
        <f>HYPERLINK("https://psearch.kitsapgov.com/webappa/index.html?parcelID=1452333&amp;Theme=Imagery","1452333")</f>
        <v>1452333</v>
      </c>
      <c r="G775" s="16" t="s">
        <v>6238</v>
      </c>
      <c r="H775" s="17">
        <v>43724</v>
      </c>
      <c r="I775" s="18">
        <v>465000</v>
      </c>
      <c r="J775" s="19">
        <v>0.1</v>
      </c>
      <c r="K775" s="16" t="s">
        <v>28</v>
      </c>
      <c r="L775" s="16" t="s">
        <v>856</v>
      </c>
      <c r="M775" s="16" t="s">
        <v>6239</v>
      </c>
      <c r="N775" s="16" t="s">
        <v>6240</v>
      </c>
    </row>
    <row r="776" spans="1:14" ht="20.100000000000001" customHeight="1" x14ac:dyDescent="0.25">
      <c r="A776" s="15" t="s">
        <v>6236</v>
      </c>
      <c r="B776" s="16" t="s">
        <v>24</v>
      </c>
      <c r="C776" s="15">
        <v>9100541</v>
      </c>
      <c r="D776" s="16" t="s">
        <v>215</v>
      </c>
      <c r="E776" s="15" t="s">
        <v>6241</v>
      </c>
      <c r="F776" s="21" t="str">
        <f>HYPERLINK("https://psearch.kitsapgov.com/webappa/index.html?parcelID=1452341&amp;Theme=Imagery","1452341")</f>
        <v>1452341</v>
      </c>
      <c r="G776" s="16" t="s">
        <v>6242</v>
      </c>
      <c r="H776" s="17">
        <v>43724</v>
      </c>
      <c r="I776" s="18">
        <v>465000</v>
      </c>
      <c r="J776" s="19">
        <v>0.25</v>
      </c>
      <c r="K776" s="16" t="s">
        <v>28</v>
      </c>
      <c r="L776" s="16" t="s">
        <v>856</v>
      </c>
      <c r="M776" s="16" t="s">
        <v>6239</v>
      </c>
      <c r="N776" s="16" t="s">
        <v>6240</v>
      </c>
    </row>
    <row r="777" spans="1:14" ht="39.950000000000003" customHeight="1" x14ac:dyDescent="0.25">
      <c r="A777" s="15" t="s">
        <v>6243</v>
      </c>
      <c r="B777" s="16" t="s">
        <v>57</v>
      </c>
      <c r="C777" s="15">
        <v>8100502</v>
      </c>
      <c r="D777" s="16" t="s">
        <v>67</v>
      </c>
      <c r="E777" s="15" t="s">
        <v>6244</v>
      </c>
      <c r="F777" s="21" t="str">
        <f>HYPERLINK("https://psearch.kitsapgov.com/webappa/index.html?parcelID=1158096&amp;Theme=Imagery","1158096")</f>
        <v>1158096</v>
      </c>
      <c r="G777" s="16" t="s">
        <v>6245</v>
      </c>
      <c r="H777" s="17">
        <v>43731</v>
      </c>
      <c r="I777" s="18">
        <v>297000</v>
      </c>
      <c r="J777" s="19">
        <v>3.08</v>
      </c>
      <c r="K777" s="16" t="s">
        <v>70</v>
      </c>
      <c r="L777" s="16" t="s">
        <v>4645</v>
      </c>
      <c r="M777" s="16" t="s">
        <v>6246</v>
      </c>
      <c r="N777" s="16" t="s">
        <v>6247</v>
      </c>
    </row>
    <row r="778" spans="1:14" ht="20.100000000000001" customHeight="1" x14ac:dyDescent="0.25">
      <c r="A778" s="15" t="s">
        <v>6243</v>
      </c>
      <c r="B778" s="16" t="s">
        <v>57</v>
      </c>
      <c r="C778" s="15">
        <v>8100502</v>
      </c>
      <c r="D778" s="16" t="s">
        <v>67</v>
      </c>
      <c r="E778" s="15" t="s">
        <v>6248</v>
      </c>
      <c r="F778" s="21" t="str">
        <f>HYPERLINK("https://psearch.kitsapgov.com/webappa/index.html?parcelID=1158104&amp;Theme=Imagery","1158104")</f>
        <v>1158104</v>
      </c>
      <c r="G778" s="16" t="s">
        <v>6249</v>
      </c>
      <c r="H778" s="17">
        <v>43731</v>
      </c>
      <c r="I778" s="18">
        <v>297000</v>
      </c>
      <c r="J778" s="19">
        <v>1.77</v>
      </c>
      <c r="K778" s="16" t="s">
        <v>70</v>
      </c>
      <c r="L778" s="16" t="s">
        <v>4645</v>
      </c>
      <c r="M778" s="16" t="s">
        <v>6246</v>
      </c>
      <c r="N778" s="16" t="s">
        <v>6247</v>
      </c>
    </row>
    <row r="779" spans="1:14" ht="20.100000000000001" customHeight="1" x14ac:dyDescent="0.25">
      <c r="A779" s="15" t="s">
        <v>6243</v>
      </c>
      <c r="B779" s="16" t="s">
        <v>57</v>
      </c>
      <c r="C779" s="15">
        <v>8100502</v>
      </c>
      <c r="D779" s="16" t="s">
        <v>67</v>
      </c>
      <c r="E779" s="15" t="s">
        <v>6250</v>
      </c>
      <c r="F779" s="21" t="str">
        <f>HYPERLINK("https://psearch.kitsapgov.com/webappa/index.html?parcelID=1158112&amp;Theme=Imagery","1158112")</f>
        <v>1158112</v>
      </c>
      <c r="G779" s="16" t="s">
        <v>6249</v>
      </c>
      <c r="H779" s="17">
        <v>43731</v>
      </c>
      <c r="I779" s="18">
        <v>297000</v>
      </c>
      <c r="J779" s="19">
        <v>4.8499999999999996</v>
      </c>
      <c r="K779" s="16" t="s">
        <v>70</v>
      </c>
      <c r="L779" s="16" t="s">
        <v>4645</v>
      </c>
      <c r="M779" s="16" t="s">
        <v>6246</v>
      </c>
      <c r="N779" s="16" t="s">
        <v>6247</v>
      </c>
    </row>
    <row r="780" spans="1:14" ht="20.100000000000001" customHeight="1" x14ac:dyDescent="0.25">
      <c r="A780" s="15" t="s">
        <v>6243</v>
      </c>
      <c r="B780" s="16" t="s">
        <v>57</v>
      </c>
      <c r="C780" s="15">
        <v>8100502</v>
      </c>
      <c r="D780" s="16" t="s">
        <v>67</v>
      </c>
      <c r="E780" s="15" t="s">
        <v>6251</v>
      </c>
      <c r="F780" s="21" t="str">
        <f>HYPERLINK("https://psearch.kitsapgov.com/webappa/index.html?parcelID=1158120&amp;Theme=Imagery","1158120")</f>
        <v>1158120</v>
      </c>
      <c r="G780" s="16" t="s">
        <v>6252</v>
      </c>
      <c r="H780" s="17">
        <v>43731</v>
      </c>
      <c r="I780" s="18">
        <v>297000</v>
      </c>
      <c r="J780" s="19">
        <v>2.42</v>
      </c>
      <c r="K780" s="16" t="s">
        <v>70</v>
      </c>
      <c r="L780" s="16" t="s">
        <v>4645</v>
      </c>
      <c r="M780" s="16" t="s">
        <v>6246</v>
      </c>
      <c r="N780" s="16" t="s">
        <v>6247</v>
      </c>
    </row>
    <row r="781" spans="1:14" ht="39.950000000000003" customHeight="1" x14ac:dyDescent="0.25">
      <c r="A781" s="15" t="s">
        <v>6253</v>
      </c>
      <c r="B781" s="16" t="s">
        <v>57</v>
      </c>
      <c r="C781" s="15">
        <v>7401190</v>
      </c>
      <c r="D781" s="16" t="s">
        <v>4754</v>
      </c>
      <c r="E781" s="15" t="s">
        <v>6254</v>
      </c>
      <c r="F781" s="21" t="str">
        <f>HYPERLINK("https://psearch.kitsapgov.com/webappa/index.html?parcelID=1241264&amp;Theme=Imagery","1241264")</f>
        <v>1241264</v>
      </c>
      <c r="G781" s="16" t="s">
        <v>107</v>
      </c>
      <c r="H781" s="17">
        <v>43731</v>
      </c>
      <c r="I781" s="18">
        <v>520000</v>
      </c>
      <c r="J781" s="19">
        <v>0.48</v>
      </c>
      <c r="K781" s="16" t="s">
        <v>4751</v>
      </c>
      <c r="L781" s="16" t="s">
        <v>4656</v>
      </c>
      <c r="M781" s="16" t="s">
        <v>6255</v>
      </c>
      <c r="N781" s="16" t="s">
        <v>6256</v>
      </c>
    </row>
    <row r="782" spans="1:14" ht="20.100000000000001" customHeight="1" x14ac:dyDescent="0.25">
      <c r="A782" s="15" t="s">
        <v>6253</v>
      </c>
      <c r="B782" s="16" t="s">
        <v>96</v>
      </c>
      <c r="C782" s="15">
        <v>9401190</v>
      </c>
      <c r="D782" s="16" t="s">
        <v>394</v>
      </c>
      <c r="E782" s="15" t="s">
        <v>6257</v>
      </c>
      <c r="F782" s="21" t="str">
        <f>HYPERLINK("https://psearch.kitsapgov.com/webappa/index.html?parcelID=2016426&amp;Theme=Imagery","2016426")</f>
        <v>2016426</v>
      </c>
      <c r="G782" s="16" t="s">
        <v>6258</v>
      </c>
      <c r="H782" s="17">
        <v>43731</v>
      </c>
      <c r="I782" s="18">
        <v>520000</v>
      </c>
      <c r="J782" s="19">
        <v>0.46</v>
      </c>
      <c r="K782" s="16" t="s">
        <v>4751</v>
      </c>
      <c r="L782" s="16" t="s">
        <v>4656</v>
      </c>
      <c r="M782" s="16" t="s">
        <v>6255</v>
      </c>
      <c r="N782" s="16" t="s">
        <v>6256</v>
      </c>
    </row>
    <row r="783" spans="1:14" ht="39.950000000000003" customHeight="1" x14ac:dyDescent="0.25">
      <c r="A783" s="15" t="s">
        <v>6259</v>
      </c>
      <c r="B783" s="16" t="s">
        <v>393</v>
      </c>
      <c r="C783" s="15">
        <v>8401103</v>
      </c>
      <c r="D783" s="16" t="s">
        <v>826</v>
      </c>
      <c r="E783" s="15" t="s">
        <v>4845</v>
      </c>
      <c r="F783" s="21" t="str">
        <f>HYPERLINK("https://psearch.kitsapgov.com/webappa/index.html?parcelID=2125912&amp;Theme=Imagery","2125912")</f>
        <v>2125912</v>
      </c>
      <c r="G783" s="16" t="s">
        <v>4846</v>
      </c>
      <c r="H783" s="17">
        <v>43746</v>
      </c>
      <c r="I783" s="18">
        <v>65600000</v>
      </c>
      <c r="J783" s="19">
        <v>6.22</v>
      </c>
      <c r="K783" s="16" t="s">
        <v>708</v>
      </c>
      <c r="L783" s="16" t="s">
        <v>20</v>
      </c>
      <c r="M783" s="16" t="s">
        <v>4848</v>
      </c>
      <c r="N783" s="16" t="s">
        <v>6260</v>
      </c>
    </row>
    <row r="784" spans="1:14" ht="20.100000000000001" customHeight="1" x14ac:dyDescent="0.25">
      <c r="A784" s="15" t="s">
        <v>6259</v>
      </c>
      <c r="B784" s="16" t="s">
        <v>393</v>
      </c>
      <c r="C784" s="15">
        <v>8401103</v>
      </c>
      <c r="D784" s="16" t="s">
        <v>826</v>
      </c>
      <c r="E784" s="15" t="s">
        <v>4849</v>
      </c>
      <c r="F784" s="21" t="str">
        <f>HYPERLINK("https://psearch.kitsapgov.com/webappa/index.html?parcelID=2135655&amp;Theme=Imagery","2135655")</f>
        <v>2135655</v>
      </c>
      <c r="G784" s="16" t="s">
        <v>4850</v>
      </c>
      <c r="H784" s="17">
        <v>43746</v>
      </c>
      <c r="I784" s="18">
        <v>65600000</v>
      </c>
      <c r="J784" s="19">
        <v>10.31</v>
      </c>
      <c r="K784" s="16" t="s">
        <v>708</v>
      </c>
      <c r="L784" s="16" t="s">
        <v>20</v>
      </c>
      <c r="M784" s="16" t="s">
        <v>4848</v>
      </c>
      <c r="N784" s="16" t="s">
        <v>6260</v>
      </c>
    </row>
    <row r="785" spans="1:14" ht="39.950000000000003" customHeight="1" x14ac:dyDescent="0.25">
      <c r="A785" s="15" t="s">
        <v>6261</v>
      </c>
      <c r="B785" s="16" t="s">
        <v>330</v>
      </c>
      <c r="C785" s="15">
        <v>8100501</v>
      </c>
      <c r="D785" s="16" t="s">
        <v>117</v>
      </c>
      <c r="E785" s="15" t="s">
        <v>6262</v>
      </c>
      <c r="F785" s="21" t="str">
        <f>HYPERLINK("https://psearch.kitsapgov.com/webappa/index.html?parcelID=1427285&amp;Theme=Imagery","1427285")</f>
        <v>1427285</v>
      </c>
      <c r="G785" s="16" t="s">
        <v>6263</v>
      </c>
      <c r="H785" s="17">
        <v>43767</v>
      </c>
      <c r="I785" s="18">
        <v>1351100</v>
      </c>
      <c r="J785" s="19">
        <v>0.13</v>
      </c>
      <c r="K785" s="16" t="s">
        <v>2887</v>
      </c>
      <c r="L785" s="16" t="s">
        <v>4645</v>
      </c>
      <c r="M785" s="16" t="s">
        <v>6264</v>
      </c>
      <c r="N785" s="16" t="s">
        <v>6265</v>
      </c>
    </row>
    <row r="786" spans="1:14" ht="20.100000000000001" customHeight="1" x14ac:dyDescent="0.25">
      <c r="A786" s="15" t="s">
        <v>6261</v>
      </c>
      <c r="B786" s="16" t="s">
        <v>330</v>
      </c>
      <c r="C786" s="15">
        <v>8100501</v>
      </c>
      <c r="D786" s="16" t="s">
        <v>117</v>
      </c>
      <c r="E786" s="15" t="s">
        <v>6266</v>
      </c>
      <c r="F786" s="21" t="str">
        <f>HYPERLINK("https://psearch.kitsapgov.com/webappa/index.html?parcelID=1427293&amp;Theme=Imagery","1427293")</f>
        <v>1427293</v>
      </c>
      <c r="G786" s="16" t="s">
        <v>6267</v>
      </c>
      <c r="H786" s="17">
        <v>43767</v>
      </c>
      <c r="I786" s="18">
        <v>1351100</v>
      </c>
      <c r="J786" s="19">
        <v>0.14000000000000001</v>
      </c>
      <c r="K786" s="16" t="s">
        <v>2887</v>
      </c>
      <c r="L786" s="16" t="s">
        <v>4645</v>
      </c>
      <c r="M786" s="16" t="s">
        <v>6264</v>
      </c>
      <c r="N786" s="16" t="s">
        <v>6265</v>
      </c>
    </row>
    <row r="787" spans="1:14" ht="20.100000000000001" customHeight="1" x14ac:dyDescent="0.25">
      <c r="A787" s="15" t="s">
        <v>6261</v>
      </c>
      <c r="B787" s="16" t="s">
        <v>330</v>
      </c>
      <c r="C787" s="15">
        <v>8100501</v>
      </c>
      <c r="D787" s="16" t="s">
        <v>117</v>
      </c>
      <c r="E787" s="15" t="s">
        <v>6268</v>
      </c>
      <c r="F787" s="21" t="str">
        <f>HYPERLINK("https://psearch.kitsapgov.com/webappa/index.html?parcelID=1427301&amp;Theme=Imagery","1427301")</f>
        <v>1427301</v>
      </c>
      <c r="G787" s="16" t="s">
        <v>6269</v>
      </c>
      <c r="H787" s="17">
        <v>43767</v>
      </c>
      <c r="I787" s="18">
        <v>1351100</v>
      </c>
      <c r="J787" s="19">
        <v>0.14000000000000001</v>
      </c>
      <c r="K787" s="16" t="s">
        <v>2887</v>
      </c>
      <c r="L787" s="16" t="s">
        <v>4645</v>
      </c>
      <c r="M787" s="16" t="s">
        <v>6264</v>
      </c>
      <c r="N787" s="16" t="s">
        <v>6265</v>
      </c>
    </row>
    <row r="788" spans="1:14" ht="20.100000000000001" customHeight="1" x14ac:dyDescent="0.25">
      <c r="A788" s="15" t="s">
        <v>6261</v>
      </c>
      <c r="B788" s="16" t="s">
        <v>330</v>
      </c>
      <c r="C788" s="15">
        <v>8100501</v>
      </c>
      <c r="D788" s="16" t="s">
        <v>117</v>
      </c>
      <c r="E788" s="15" t="s">
        <v>6270</v>
      </c>
      <c r="F788" s="21" t="str">
        <f>HYPERLINK("https://psearch.kitsapgov.com/webappa/index.html?parcelID=1428119&amp;Theme=Imagery","1428119")</f>
        <v>1428119</v>
      </c>
      <c r="G788" s="16" t="s">
        <v>6271</v>
      </c>
      <c r="H788" s="17">
        <v>43767</v>
      </c>
      <c r="I788" s="18">
        <v>1351100</v>
      </c>
      <c r="J788" s="19">
        <v>0.43</v>
      </c>
      <c r="K788" s="16" t="s">
        <v>2887</v>
      </c>
      <c r="L788" s="16" t="s">
        <v>4645</v>
      </c>
      <c r="M788" s="16" t="s">
        <v>6264</v>
      </c>
      <c r="N788" s="16" t="s">
        <v>6265</v>
      </c>
    </row>
    <row r="789" spans="1:14" ht="39.950000000000003" customHeight="1" x14ac:dyDescent="0.25">
      <c r="A789" s="15" t="s">
        <v>6272</v>
      </c>
      <c r="B789" s="16" t="s">
        <v>330</v>
      </c>
      <c r="C789" s="15">
        <v>8100501</v>
      </c>
      <c r="D789" s="16" t="s">
        <v>117</v>
      </c>
      <c r="E789" s="15" t="s">
        <v>6273</v>
      </c>
      <c r="F789" s="21" t="str">
        <f>HYPERLINK("https://psearch.kitsapgov.com/webappa/index.html?parcelID=1426899&amp;Theme=Imagery","1426899")</f>
        <v>1426899</v>
      </c>
      <c r="G789" s="16" t="s">
        <v>6274</v>
      </c>
      <c r="H789" s="17">
        <v>43747</v>
      </c>
      <c r="I789" s="18">
        <v>7236400</v>
      </c>
      <c r="J789" s="19">
        <v>0.21</v>
      </c>
      <c r="K789" s="16" t="s">
        <v>120</v>
      </c>
      <c r="L789" s="16" t="s">
        <v>4645</v>
      </c>
      <c r="M789" s="16" t="s">
        <v>6264</v>
      </c>
      <c r="N789" s="16" t="s">
        <v>1903</v>
      </c>
    </row>
    <row r="790" spans="1:14" ht="20.100000000000001" customHeight="1" x14ac:dyDescent="0.25">
      <c r="A790" s="15" t="s">
        <v>6272</v>
      </c>
      <c r="B790" s="16" t="s">
        <v>89</v>
      </c>
      <c r="C790" s="15">
        <v>8100501</v>
      </c>
      <c r="D790" s="16" t="s">
        <v>117</v>
      </c>
      <c r="E790" s="15" t="s">
        <v>6275</v>
      </c>
      <c r="F790" s="21" t="str">
        <f>HYPERLINK("https://psearch.kitsapgov.com/webappa/index.html?parcelID=1426915&amp;Theme=Imagery","1426915")</f>
        <v>1426915</v>
      </c>
      <c r="G790" s="16" t="s">
        <v>6276</v>
      </c>
      <c r="H790" s="17">
        <v>43747</v>
      </c>
      <c r="I790" s="18">
        <v>7236400</v>
      </c>
      <c r="J790" s="19">
        <v>0.14000000000000001</v>
      </c>
      <c r="K790" s="16" t="s">
        <v>120</v>
      </c>
      <c r="L790" s="16" t="s">
        <v>4645</v>
      </c>
      <c r="M790" s="16" t="s">
        <v>6264</v>
      </c>
      <c r="N790" s="16" t="s">
        <v>1903</v>
      </c>
    </row>
    <row r="791" spans="1:14" ht="20.100000000000001" customHeight="1" x14ac:dyDescent="0.25">
      <c r="A791" s="15" t="s">
        <v>6272</v>
      </c>
      <c r="B791" s="16" t="s">
        <v>330</v>
      </c>
      <c r="C791" s="15">
        <v>8100501</v>
      </c>
      <c r="D791" s="16" t="s">
        <v>117</v>
      </c>
      <c r="E791" s="15" t="s">
        <v>6277</v>
      </c>
      <c r="F791" s="21" t="str">
        <f>HYPERLINK("https://psearch.kitsapgov.com/webappa/index.html?parcelID=1426998&amp;Theme=Imagery","1426998")</f>
        <v>1426998</v>
      </c>
      <c r="G791" s="16" t="s">
        <v>6278</v>
      </c>
      <c r="H791" s="17">
        <v>43747</v>
      </c>
      <c r="I791" s="18">
        <v>7236400</v>
      </c>
      <c r="J791" s="19">
        <v>0.15</v>
      </c>
      <c r="K791" s="16" t="s">
        <v>120</v>
      </c>
      <c r="L791" s="16" t="s">
        <v>4645</v>
      </c>
      <c r="M791" s="16" t="s">
        <v>6264</v>
      </c>
      <c r="N791" s="16" t="s">
        <v>1903</v>
      </c>
    </row>
    <row r="792" spans="1:14" ht="20.100000000000001" customHeight="1" x14ac:dyDescent="0.25">
      <c r="A792" s="15" t="s">
        <v>6272</v>
      </c>
      <c r="B792" s="16" t="s">
        <v>89</v>
      </c>
      <c r="C792" s="15">
        <v>8100501</v>
      </c>
      <c r="D792" s="16" t="s">
        <v>117</v>
      </c>
      <c r="E792" s="15" t="s">
        <v>6279</v>
      </c>
      <c r="F792" s="21" t="str">
        <f>HYPERLINK("https://psearch.kitsapgov.com/webappa/index.html?parcelID=1427319&amp;Theme=Imagery","1427319")</f>
        <v>1427319</v>
      </c>
      <c r="G792" s="16" t="s">
        <v>6280</v>
      </c>
      <c r="H792" s="17">
        <v>43747</v>
      </c>
      <c r="I792" s="18">
        <v>7236400</v>
      </c>
      <c r="J792" s="19">
        <v>0.28999999999999998</v>
      </c>
      <c r="K792" s="16" t="s">
        <v>120</v>
      </c>
      <c r="L792" s="16" t="s">
        <v>4645</v>
      </c>
      <c r="M792" s="16" t="s">
        <v>6264</v>
      </c>
      <c r="N792" s="16" t="s">
        <v>1903</v>
      </c>
    </row>
    <row r="793" spans="1:14" ht="20.100000000000001" customHeight="1" x14ac:dyDescent="0.25">
      <c r="A793" s="15" t="s">
        <v>6272</v>
      </c>
      <c r="B793" s="16" t="s">
        <v>33</v>
      </c>
      <c r="C793" s="15">
        <v>8100501</v>
      </c>
      <c r="D793" s="16" t="s">
        <v>117</v>
      </c>
      <c r="E793" s="15" t="s">
        <v>6281</v>
      </c>
      <c r="F793" s="21" t="str">
        <f>HYPERLINK("https://psearch.kitsapgov.com/webappa/index.html?parcelID=1427327&amp;Theme=Imagery","1427327")</f>
        <v>1427327</v>
      </c>
      <c r="G793" s="16" t="s">
        <v>6282</v>
      </c>
      <c r="H793" s="17">
        <v>43747</v>
      </c>
      <c r="I793" s="18">
        <v>7236400</v>
      </c>
      <c r="J793" s="19">
        <v>0.28999999999999998</v>
      </c>
      <c r="K793" s="16" t="s">
        <v>120</v>
      </c>
      <c r="L793" s="16" t="s">
        <v>4645</v>
      </c>
      <c r="M793" s="16" t="s">
        <v>6264</v>
      </c>
      <c r="N793" s="16" t="s">
        <v>1903</v>
      </c>
    </row>
    <row r="794" spans="1:14" ht="20.100000000000001" customHeight="1" x14ac:dyDescent="0.25">
      <c r="A794" s="15" t="s">
        <v>6272</v>
      </c>
      <c r="B794" s="16" t="s">
        <v>89</v>
      </c>
      <c r="C794" s="15">
        <v>8100501</v>
      </c>
      <c r="D794" s="16" t="s">
        <v>117</v>
      </c>
      <c r="E794" s="15" t="s">
        <v>6283</v>
      </c>
      <c r="F794" s="21" t="str">
        <f>HYPERLINK("https://psearch.kitsapgov.com/webappa/index.html?parcelID=1427335&amp;Theme=Imagery","1427335")</f>
        <v>1427335</v>
      </c>
      <c r="G794" s="16" t="s">
        <v>6284</v>
      </c>
      <c r="H794" s="17">
        <v>43747</v>
      </c>
      <c r="I794" s="18">
        <v>7236400</v>
      </c>
      <c r="J794" s="19">
        <v>0.04</v>
      </c>
      <c r="K794" s="16" t="s">
        <v>2887</v>
      </c>
      <c r="L794" s="16" t="s">
        <v>4645</v>
      </c>
      <c r="M794" s="16" t="s">
        <v>6264</v>
      </c>
      <c r="N794" s="16" t="s">
        <v>1903</v>
      </c>
    </row>
    <row r="795" spans="1:14" ht="20.100000000000001" customHeight="1" x14ac:dyDescent="0.25">
      <c r="A795" s="15" t="s">
        <v>6272</v>
      </c>
      <c r="B795" s="16" t="s">
        <v>89</v>
      </c>
      <c r="C795" s="15">
        <v>8100501</v>
      </c>
      <c r="D795" s="16" t="s">
        <v>117</v>
      </c>
      <c r="E795" s="15" t="s">
        <v>6285</v>
      </c>
      <c r="F795" s="21" t="str">
        <f>HYPERLINK("https://psearch.kitsapgov.com/webappa/index.html?parcelID=1427343&amp;Theme=Imagery","1427343")</f>
        <v>1427343</v>
      </c>
      <c r="G795" s="16" t="s">
        <v>6286</v>
      </c>
      <c r="H795" s="17">
        <v>43747</v>
      </c>
      <c r="I795" s="18">
        <v>7236400</v>
      </c>
      <c r="J795" s="19">
        <v>0.11</v>
      </c>
      <c r="K795" s="16" t="s">
        <v>2887</v>
      </c>
      <c r="L795" s="16" t="s">
        <v>4645</v>
      </c>
      <c r="M795" s="16" t="s">
        <v>6264</v>
      </c>
      <c r="N795" s="16" t="s">
        <v>1903</v>
      </c>
    </row>
    <row r="796" spans="1:14" ht="20.100000000000001" customHeight="1" x14ac:dyDescent="0.25">
      <c r="A796" s="15" t="s">
        <v>6272</v>
      </c>
      <c r="B796" s="16" t="s">
        <v>89</v>
      </c>
      <c r="C796" s="15">
        <v>8100501</v>
      </c>
      <c r="D796" s="16" t="s">
        <v>117</v>
      </c>
      <c r="E796" s="15" t="s">
        <v>6287</v>
      </c>
      <c r="F796" s="21" t="str">
        <f>HYPERLINK("https://psearch.kitsapgov.com/webappa/index.html?parcelID=1427350&amp;Theme=Imagery","1427350")</f>
        <v>1427350</v>
      </c>
      <c r="G796" s="16" t="s">
        <v>6288</v>
      </c>
      <c r="H796" s="17">
        <v>43747</v>
      </c>
      <c r="I796" s="18">
        <v>7236400</v>
      </c>
      <c r="J796" s="19">
        <v>7.0000000000000007E-2</v>
      </c>
      <c r="K796" s="16" t="s">
        <v>2887</v>
      </c>
      <c r="L796" s="16" t="s">
        <v>4645</v>
      </c>
      <c r="M796" s="16" t="s">
        <v>6264</v>
      </c>
      <c r="N796" s="16" t="s">
        <v>1903</v>
      </c>
    </row>
    <row r="797" spans="1:14" ht="20.100000000000001" customHeight="1" x14ac:dyDescent="0.25">
      <c r="A797" s="15" t="s">
        <v>6272</v>
      </c>
      <c r="B797" s="16" t="s">
        <v>330</v>
      </c>
      <c r="C797" s="15">
        <v>8100501</v>
      </c>
      <c r="D797" s="16" t="s">
        <v>117</v>
      </c>
      <c r="E797" s="15" t="s">
        <v>6289</v>
      </c>
      <c r="F797" s="21" t="str">
        <f>HYPERLINK("https://psearch.kitsapgov.com/webappa/index.html?parcelID=1427368&amp;Theme=Imagery","1427368")</f>
        <v>1427368</v>
      </c>
      <c r="G797" s="16" t="s">
        <v>6290</v>
      </c>
      <c r="H797" s="17">
        <v>43747</v>
      </c>
      <c r="I797" s="18">
        <v>7236400</v>
      </c>
      <c r="J797" s="19">
        <v>0.14000000000000001</v>
      </c>
      <c r="K797" s="16" t="s">
        <v>2887</v>
      </c>
      <c r="L797" s="16" t="s">
        <v>4645</v>
      </c>
      <c r="M797" s="16" t="s">
        <v>6264</v>
      </c>
      <c r="N797" s="16" t="s">
        <v>1903</v>
      </c>
    </row>
    <row r="798" spans="1:14" ht="20.100000000000001" customHeight="1" x14ac:dyDescent="0.25">
      <c r="A798" s="15" t="s">
        <v>6272</v>
      </c>
      <c r="B798" s="16" t="s">
        <v>89</v>
      </c>
      <c r="C798" s="15">
        <v>8100501</v>
      </c>
      <c r="D798" s="16" t="s">
        <v>117</v>
      </c>
      <c r="E798" s="15" t="s">
        <v>6291</v>
      </c>
      <c r="F798" s="21" t="str">
        <f>HYPERLINK("https://psearch.kitsapgov.com/webappa/index.html?parcelID=1427384&amp;Theme=Imagery","1427384")</f>
        <v>1427384</v>
      </c>
      <c r="G798" s="16" t="s">
        <v>6292</v>
      </c>
      <c r="H798" s="17">
        <v>43747</v>
      </c>
      <c r="I798" s="18">
        <v>7236400</v>
      </c>
      <c r="J798" s="19">
        <v>0.11</v>
      </c>
      <c r="K798" s="16" t="s">
        <v>2887</v>
      </c>
      <c r="L798" s="16" t="s">
        <v>4645</v>
      </c>
      <c r="M798" s="16" t="s">
        <v>6264</v>
      </c>
      <c r="N798" s="16" t="s">
        <v>1903</v>
      </c>
    </row>
    <row r="799" spans="1:14" ht="20.100000000000001" customHeight="1" x14ac:dyDescent="0.25">
      <c r="A799" s="15" t="s">
        <v>6272</v>
      </c>
      <c r="B799" s="16" t="s">
        <v>330</v>
      </c>
      <c r="C799" s="15">
        <v>8100501</v>
      </c>
      <c r="D799" s="16" t="s">
        <v>117</v>
      </c>
      <c r="E799" s="15" t="s">
        <v>6293</v>
      </c>
      <c r="F799" s="21" t="str">
        <f>HYPERLINK("https://psearch.kitsapgov.com/webappa/index.html?parcelID=1428101&amp;Theme=Imagery","1428101")</f>
        <v>1428101</v>
      </c>
      <c r="G799" s="16" t="s">
        <v>6294</v>
      </c>
      <c r="H799" s="17">
        <v>43747</v>
      </c>
      <c r="I799" s="18">
        <v>7236400</v>
      </c>
      <c r="J799" s="19">
        <v>0.21</v>
      </c>
      <c r="K799" s="16" t="s">
        <v>2887</v>
      </c>
      <c r="L799" s="16" t="s">
        <v>4645</v>
      </c>
      <c r="M799" s="16" t="s">
        <v>6264</v>
      </c>
      <c r="N799" s="16" t="s">
        <v>1903</v>
      </c>
    </row>
    <row r="800" spans="1:14" ht="20.100000000000001" customHeight="1" x14ac:dyDescent="0.25">
      <c r="A800" s="15" t="s">
        <v>6272</v>
      </c>
      <c r="B800" s="16" t="s">
        <v>330</v>
      </c>
      <c r="C800" s="15">
        <v>8100501</v>
      </c>
      <c r="D800" s="16" t="s">
        <v>117</v>
      </c>
      <c r="E800" s="15" t="s">
        <v>6295</v>
      </c>
      <c r="F800" s="21" t="str">
        <f>HYPERLINK("https://psearch.kitsapgov.com/webappa/index.html?parcelID=1428333&amp;Theme=Imagery","1428333")</f>
        <v>1428333</v>
      </c>
      <c r="G800" s="16" t="s">
        <v>6296</v>
      </c>
      <c r="H800" s="17">
        <v>43747</v>
      </c>
      <c r="I800" s="18">
        <v>7236400</v>
      </c>
      <c r="J800" s="19">
        <v>0.14000000000000001</v>
      </c>
      <c r="K800" s="16" t="s">
        <v>2887</v>
      </c>
      <c r="L800" s="16" t="s">
        <v>4645</v>
      </c>
      <c r="M800" s="16" t="s">
        <v>6264</v>
      </c>
      <c r="N800" s="16" t="s">
        <v>1903</v>
      </c>
    </row>
    <row r="801" spans="1:14" ht="20.100000000000001" customHeight="1" x14ac:dyDescent="0.25">
      <c r="A801" s="15" t="s">
        <v>6272</v>
      </c>
      <c r="B801" s="16" t="s">
        <v>330</v>
      </c>
      <c r="C801" s="15">
        <v>8100501</v>
      </c>
      <c r="D801" s="16" t="s">
        <v>117</v>
      </c>
      <c r="E801" s="15" t="s">
        <v>6297</v>
      </c>
      <c r="F801" s="21" t="str">
        <f>HYPERLINK("https://psearch.kitsapgov.com/webappa/index.html?parcelID=1428358&amp;Theme=Imagery","1428358")</f>
        <v>1428358</v>
      </c>
      <c r="G801" s="16" t="s">
        <v>6298</v>
      </c>
      <c r="H801" s="17">
        <v>43747</v>
      </c>
      <c r="I801" s="18">
        <v>7236400</v>
      </c>
      <c r="J801" s="19">
        <v>0.14000000000000001</v>
      </c>
      <c r="K801" s="16" t="s">
        <v>2887</v>
      </c>
      <c r="L801" s="16" t="s">
        <v>4645</v>
      </c>
      <c r="M801" s="16" t="s">
        <v>6264</v>
      </c>
      <c r="N801" s="16" t="s">
        <v>1903</v>
      </c>
    </row>
    <row r="802" spans="1:14" ht="39.950000000000003" customHeight="1" x14ac:dyDescent="0.25">
      <c r="A802" s="15" t="s">
        <v>6299</v>
      </c>
      <c r="B802" s="16" t="s">
        <v>66</v>
      </c>
      <c r="C802" s="15">
        <v>9400207</v>
      </c>
      <c r="D802" s="16" t="s">
        <v>548</v>
      </c>
      <c r="E802" s="15" t="s">
        <v>6300</v>
      </c>
      <c r="F802" s="21" t="str">
        <f>HYPERLINK("https://psearch.kitsapgov.com/webappa/index.html?parcelID=2603967&amp;Theme=Imagery","2603967")</f>
        <v>2603967</v>
      </c>
      <c r="G802" s="16" t="s">
        <v>6301</v>
      </c>
      <c r="H802" s="17">
        <v>43768</v>
      </c>
      <c r="I802" s="18">
        <v>200000</v>
      </c>
      <c r="J802" s="19">
        <v>0.09</v>
      </c>
      <c r="K802" s="16" t="s">
        <v>5868</v>
      </c>
      <c r="L802" s="16" t="s">
        <v>4645</v>
      </c>
      <c r="M802" s="16" t="s">
        <v>6302</v>
      </c>
      <c r="N802" s="16" t="s">
        <v>6303</v>
      </c>
    </row>
    <row r="803" spans="1:14" ht="20.100000000000001" customHeight="1" x14ac:dyDescent="0.25">
      <c r="A803" s="15" t="s">
        <v>6299</v>
      </c>
      <c r="B803" s="16" t="s">
        <v>57</v>
      </c>
      <c r="C803" s="15">
        <v>7400207</v>
      </c>
      <c r="D803" s="16" t="s">
        <v>5866</v>
      </c>
      <c r="E803" s="15" t="s">
        <v>6304</v>
      </c>
      <c r="F803" s="21" t="str">
        <f>HYPERLINK("https://psearch.kitsapgov.com/webappa/index.html?parcelID=1626415&amp;Theme=Imagery","1626415")</f>
        <v>1626415</v>
      </c>
      <c r="G803" s="16" t="s">
        <v>107</v>
      </c>
      <c r="H803" s="17">
        <v>43768</v>
      </c>
      <c r="I803" s="18">
        <v>200000</v>
      </c>
      <c r="J803" s="19">
        <v>0.1</v>
      </c>
      <c r="K803" s="16" t="s">
        <v>5868</v>
      </c>
      <c r="L803" s="16" t="s">
        <v>4645</v>
      </c>
      <c r="M803" s="16" t="s">
        <v>6302</v>
      </c>
      <c r="N803" s="16" t="s">
        <v>6303</v>
      </c>
    </row>
    <row r="804" spans="1:14" ht="39.950000000000003" customHeight="1" x14ac:dyDescent="0.25">
      <c r="A804" s="15" t="s">
        <v>6305</v>
      </c>
      <c r="B804" s="16" t="s">
        <v>239</v>
      </c>
      <c r="C804" s="15">
        <v>8100506</v>
      </c>
      <c r="D804" s="16" t="s">
        <v>25</v>
      </c>
      <c r="E804" s="15" t="s">
        <v>6306</v>
      </c>
      <c r="F804" s="21" t="str">
        <f>HYPERLINK("https://psearch.kitsapgov.com/webappa/index.html?parcelID=1135003&amp;Theme=Imagery","1135003")</f>
        <v>1135003</v>
      </c>
      <c r="G804" s="16" t="s">
        <v>6307</v>
      </c>
      <c r="H804" s="17">
        <v>43774</v>
      </c>
      <c r="I804" s="18">
        <v>620000</v>
      </c>
      <c r="J804" s="19">
        <v>0.5</v>
      </c>
      <c r="K804" s="16" t="s">
        <v>85</v>
      </c>
      <c r="L804" s="16" t="s">
        <v>4645</v>
      </c>
      <c r="M804" s="16" t="s">
        <v>6308</v>
      </c>
      <c r="N804" s="16" t="s">
        <v>5906</v>
      </c>
    </row>
    <row r="805" spans="1:14" ht="20.100000000000001" customHeight="1" x14ac:dyDescent="0.25">
      <c r="A805" s="15" t="s">
        <v>6305</v>
      </c>
      <c r="B805" s="16" t="s">
        <v>330</v>
      </c>
      <c r="C805" s="15">
        <v>8100506</v>
      </c>
      <c r="D805" s="16" t="s">
        <v>25</v>
      </c>
      <c r="E805" s="15" t="s">
        <v>6309</v>
      </c>
      <c r="F805" s="21" t="str">
        <f>HYPERLINK("https://psearch.kitsapgov.com/webappa/index.html?parcelID=2159887&amp;Theme=Imagery","2159887")</f>
        <v>2159887</v>
      </c>
      <c r="G805" s="16" t="s">
        <v>6310</v>
      </c>
      <c r="H805" s="17">
        <v>43774</v>
      </c>
      <c r="I805" s="18">
        <v>620000</v>
      </c>
      <c r="J805" s="19">
        <v>0.19</v>
      </c>
      <c r="K805" s="16" t="s">
        <v>85</v>
      </c>
      <c r="L805" s="16" t="s">
        <v>4645</v>
      </c>
      <c r="M805" s="16" t="s">
        <v>6308</v>
      </c>
      <c r="N805" s="16" t="s">
        <v>5906</v>
      </c>
    </row>
  </sheetData>
  <mergeCells count="1">
    <mergeCell ref="A1:D1"/>
  </mergeCells>
  <pageMargins left="0.75" right="0.75" top="1" bottom="1" header="0.5" footer="0.5"/>
  <pageSetup orientation="portrait" horizontalDpi="4294967294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CFE71B25173946AEA9921B964C554E" ma:contentTypeVersion="11" ma:contentTypeDescription="Create a new document." ma:contentTypeScope="" ma:versionID="5ee8a2a3cc807293a0b055f3149da2d6">
  <xsd:schema xmlns:xsd="http://www.w3.org/2001/XMLSchema" xmlns:xs="http://www.w3.org/2001/XMLSchema" xmlns:p="http://schemas.microsoft.com/office/2006/metadata/properties" xmlns:ns1="http://schemas.microsoft.com/sharepoint/v3" xmlns:ns2="35264d4d-001a-4fc3-895d-bd419debefda" xmlns:ns3="912d177a-6cc5-4f6e-87a1-a122c73ed428" targetNamespace="http://schemas.microsoft.com/office/2006/metadata/properties" ma:root="true" ma:fieldsID="d0249c9f9eae4aea73dacfbf05e55d0b" ns1:_="" ns2:_="" ns3:_="">
    <xsd:import namespace="http://schemas.microsoft.com/sharepoint/v3"/>
    <xsd:import namespace="35264d4d-001a-4fc3-895d-bd419debefda"/>
    <xsd:import namespace="912d177a-6cc5-4f6e-87a1-a122c73ed42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"/>
                <xsd:element ref="ns2:Tax_x0020_Year" minOccurs="0"/>
                <xsd:element ref="ns2:Sales" minOccurs="0"/>
                <xsd:element ref="ns2:Neighborhood_x0020_Code" minOccurs="0"/>
                <xsd:element ref="ns2:Neighborhood_x0020_Name" minOccurs="0"/>
                <xsd:element ref="ns2:Model_x0020_Type" minOccurs="0"/>
                <xsd:element ref="ns2:Valuation_x0020_Type" minOccurs="0"/>
                <xsd:element ref="ns2:Inspection_x0020_Are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64d4d-001a-4fc3-895d-bd419debefda" elementFormDefault="qualified">
    <xsd:import namespace="http://schemas.microsoft.com/office/2006/documentManagement/types"/>
    <xsd:import namespace="http://schemas.microsoft.com/office/infopath/2007/PartnerControls"/>
    <xsd:element name="Category" ma:index="10" ma:displayName="Category" ma:format="Dropdown" ma:internalName="Category">
      <xsd:simpleType>
        <xsd:restriction base="dms:Choice">
          <xsd:enumeration value="Form"/>
          <xsd:enumeration value="Publication"/>
          <xsd:enumeration value="Assessment Book"/>
          <xsd:enumeration value="Residential Sales"/>
          <xsd:enumeration value="Commercial Sales"/>
          <xsd:enumeration value="Residential"/>
          <xsd:enumeration value="Commercial"/>
          <xsd:enumeration value="Sales"/>
          <xsd:enumeration value="Cadastral"/>
          <xsd:enumeration value="Personal Property"/>
          <xsd:enumeration value="Senior/Disabled"/>
          <xsd:enumeration value="Data Download"/>
          <xsd:enumeration value="Current Use"/>
          <xsd:enumeration value="Levy"/>
          <xsd:enumeration value="Commercial Value Model"/>
          <xsd:enumeration value="Single Family Residence, Mobile Homes, Duplex"/>
        </xsd:restriction>
      </xsd:simpleType>
    </xsd:element>
    <xsd:element name="Tax_x0020_Year" ma:index="11" nillable="true" ma:displayName="Tax Year" ma:format="Dropdown" ma:internalName="Tax_x0020_Year">
      <xsd:simpleType>
        <xsd:restriction base="dms:Choice"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  <xsd:enumeration value="&lt;empty&gt;"/>
        </xsd:restriction>
      </xsd:simpleType>
    </xsd:element>
    <xsd:element name="Sales" ma:index="12" nillable="true" ma:displayName="Sales" ma:format="Dropdown" ma:internalName="Sales">
      <xsd:simpleType>
        <xsd:restriction base="dms:Choice"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Neighborhood_x0020_Code" ma:index="13" nillable="true" ma:displayName="Neighborhood Code" ma:internalName="Neighborhood_x0020_Code">
      <xsd:simpleType>
        <xsd:restriction base="dms:Text">
          <xsd:maxLength value="255"/>
        </xsd:restriction>
      </xsd:simpleType>
    </xsd:element>
    <xsd:element name="Neighborhood_x0020_Name" ma:index="14" nillable="true" ma:displayName="Neighborhood Name" ma:internalName="Neighborhood_x0020_Name">
      <xsd:simpleType>
        <xsd:restriction base="dms:Text">
          <xsd:maxLength value="255"/>
        </xsd:restriction>
      </xsd:simpleType>
    </xsd:element>
    <xsd:element name="Model_x0020_Type" ma:index="15" nillable="true" ma:displayName="Model Type" ma:format="Dropdown" ma:internalName="Model_x0020_Type">
      <xsd:simpleType>
        <xsd:restriction base="dms:Choice">
          <xsd:enumeration value="Apartments"/>
          <xsd:enumeration value="Eating &amp; Drinking (Restaurants, Bars, Taverns)"/>
          <xsd:enumeration value="Land"/>
          <xsd:enumeration value="Office (General, Medical, Condo, Bank)"/>
          <xsd:enumeration value="Parking Lots &amp; Garages"/>
          <xsd:enumeration value="Retail - Stand Alone Drug Stores"/>
          <xsd:enumeration value="Retail - Large Single Tenant Retail and Supermarket"/>
          <xsd:enumeration value="Airplane Hangars"/>
          <xsd:enumeration value="Auto Dealer/Manufactured Home Dealers"/>
          <xsd:enumeration value="Auto Service Repair"/>
          <xsd:enumeration value="Condominium Boat Slips"/>
          <xsd:enumeration value="Big Box - Single Tenant"/>
          <xsd:enumeration value="Convenience Stores with Gas"/>
          <xsd:enumeration value="Quick Service Restaurants"/>
          <xsd:enumeration value="Lodging"/>
          <xsd:enumeration value="Marinas"/>
          <xsd:enumeration value="Mini Warehouses"/>
          <xsd:enumeration value="Mobile Home Parks"/>
          <xsd:enumeration value="Retail"/>
          <xsd:enumeration value="Senior Housing"/>
          <xsd:enumeration value="Warehouses"/>
          <xsd:enumeration value="Car Wash, Lube, Tune"/>
          <xsd:enumeration value="Churches"/>
          <xsd:enumeration value="Nursery"/>
          <xsd:enumeration value="Golf Courses"/>
          <xsd:enumeration value="Recreation, Gym, Theater/Cinema, Kennel, Skating, Bowling"/>
          <xsd:enumeration value="Single Family Residence or Commercially Zoned Land"/>
          <xsd:enumeration value="Multi-Family"/>
          <xsd:enumeration value="Water Systems"/>
          <xsd:enumeration value="Stats / Update History"/>
          <xsd:enumeration value="Land Lease"/>
          <xsd:enumeration value="Retail-Condo Units"/>
          <xsd:enumeration value="Retail - Supermarket and Big Box Medium"/>
          <xsd:enumeration value="Retail - Large Single Tenant"/>
          <xsd:enumeration value="Single Family Residence, Mobile Homes, Duplex"/>
        </xsd:restriction>
      </xsd:simpleType>
    </xsd:element>
    <xsd:element name="Valuation_x0020_Type" ma:index="16" nillable="true" ma:displayName="Valuation Type" ma:format="Dropdown" ma:internalName="Valuation_x0020_Type">
      <xsd:simpleType>
        <xsd:restriction base="dms:Choice">
          <xsd:enumeration value="Physical Inspection"/>
          <xsd:enumeration value="Annual Update"/>
          <xsd:enumeration value="Cost Approach Model"/>
        </xsd:restriction>
      </xsd:simpleType>
    </xsd:element>
    <xsd:element name="Inspection_x0020_Area" ma:index="17" nillable="true" ma:displayName="Inspection Area" ma:format="Dropdown" ma:internalName="Inspection_x0020_Area">
      <xsd:simpleType>
        <xsd:restriction base="dms:Choice">
          <xsd:enumeration value="Area 1 - Silverdale"/>
          <xsd:enumeration value="Area 2 - Poulsbo"/>
          <xsd:enumeration value="Area 3 - Kingston"/>
          <xsd:enumeration value="Area 3 - Port Orchard"/>
          <xsd:enumeration value="Area 4 - Rural South Kitsap"/>
          <xsd:enumeration value="Area 5 - Bremerton"/>
          <xsd:enumeration value="Area 6 - Bainbridge Island"/>
          <xsd:enumeration value="Countywid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d177a-6cc5-4f6e-87a1-a122c73ed428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20_Year xmlns="35264d4d-001a-4fc3-895d-bd419debefda" xsi:nil="true"/>
    <Neighborhood_x0020_Code xmlns="35264d4d-001a-4fc3-895d-bd419debefda" xsi:nil="true"/>
    <Category xmlns="35264d4d-001a-4fc3-895d-bd419debefda">Commercial Sales</Category>
    <Neighborhood_x0020_Name xmlns="35264d4d-001a-4fc3-895d-bd419debefda" xsi:nil="true"/>
    <Valuation_x0020_Type xmlns="35264d4d-001a-4fc3-895d-bd419debefda" xsi:nil="true"/>
    <PublishingExpirationDate xmlns="http://schemas.microsoft.com/sharepoint/v3" xsi:nil="true"/>
    <PublishingStartDate xmlns="http://schemas.microsoft.com/sharepoint/v3" xsi:nil="true"/>
    <Sales xmlns="35264d4d-001a-4fc3-895d-bd419debefda" xsi:nil="true"/>
    <Model_x0020_Type xmlns="35264d4d-001a-4fc3-895d-bd419debefda" xsi:nil="true"/>
    <Inspection_x0020_Area xmlns="35264d4d-001a-4fc3-895d-bd419debefda" xsi:nil="true"/>
    <_dlc_DocId xmlns="912d177a-6cc5-4f6e-87a1-a122c73ed428">FPPJ62YA66RA-571595476-1289</_dlc_DocId>
    <_dlc_DocIdUrl xmlns="912d177a-6cc5-4f6e-87a1-a122c73ed428">
      <Url>https://www.kitsap.gov/assessor/_layouts/15/DocIdRedir.aspx?ID=FPPJ62YA66RA-571595476-1289</Url>
      <Description>FPPJ62YA66RA-571595476-1289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3851E0B-AA0F-4E84-B143-C03216F664B0}"/>
</file>

<file path=customXml/itemProps2.xml><?xml version="1.0" encoding="utf-8"?>
<ds:datastoreItem xmlns:ds="http://schemas.openxmlformats.org/officeDocument/2006/customXml" ds:itemID="{C844B549-EC38-4B33-ABC0-45696EF40FAF}"/>
</file>

<file path=customXml/itemProps3.xml><?xml version="1.0" encoding="utf-8"?>
<ds:datastoreItem xmlns:ds="http://schemas.openxmlformats.org/officeDocument/2006/customXml" ds:itemID="{8117C233-8171-4257-82D4-1AD14BF5FFC1}"/>
</file>

<file path=customXml/itemProps4.xml><?xml version="1.0" encoding="utf-8"?>
<ds:datastoreItem xmlns:ds="http://schemas.openxmlformats.org/officeDocument/2006/customXml" ds:itemID="{DF17B496-B3EB-473B-9839-38FA4FD7EC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Single-parcel sales</vt:lpstr>
      <vt:lpstr>Multi-parcel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Rachel Stapleton</dc:creator>
  <cp:lastModifiedBy>Rachel Stapleton</cp:lastModifiedBy>
  <dcterms:created xsi:type="dcterms:W3CDTF">2020-01-21T23:49:04Z</dcterms:created>
  <dcterms:modified xsi:type="dcterms:W3CDTF">2020-01-21T23:49:35Z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0x010100E1CFE71B25173946AEA9921B964C554E</vt:lpwstr>
  </property>
  <property fmtid="{D5CDD505-2E9C-101B-9397-08002B2CF9AE}" pid="3" name="_dlc_DocIdItemGuid">
    <vt:lpwstr>47ae2900-de5a-496b-848b-ff6b6476e6a1</vt:lpwstr>
  </property>
</Properties>
</file>